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6" windowWidth="11340" windowHeight="804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4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глава старая которая раньше была сама по себе отдельно</t>
        </r>
      </text>
    </comment>
    <comment ref="H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20%
</t>
        </r>
      </text>
    </comment>
    <comment ref="I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25%</t>
        </r>
      </text>
    </comment>
    <comment ref="J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25%
</t>
        </r>
      </text>
    </comment>
    <comment ref="K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30%</t>
        </r>
      </text>
    </comment>
  </commentList>
</comments>
</file>

<file path=xl/sharedStrings.xml><?xml version="1.0" encoding="utf-8"?>
<sst xmlns="http://schemas.openxmlformats.org/spreadsheetml/2006/main" count="2779" uniqueCount="473">
  <si>
    <t>I</t>
  </si>
  <si>
    <t>II</t>
  </si>
  <si>
    <t>III</t>
  </si>
  <si>
    <t>IV</t>
  </si>
  <si>
    <t>Код</t>
  </si>
  <si>
    <t>Наименование</t>
  </si>
  <si>
    <t>целевой статьи</t>
  </si>
  <si>
    <t>вида расходов</t>
  </si>
  <si>
    <t>(тыс.рублей)</t>
  </si>
  <si>
    <t>Итого расходов</t>
  </si>
  <si>
    <t>РОСПИСЬ РАСХОДОВ</t>
  </si>
  <si>
    <t>УТВЕРЖДЕНО</t>
  </si>
  <si>
    <t>в том числе по кварталам:</t>
  </si>
  <si>
    <t>Сумма на текущий финан-совый год</t>
  </si>
  <si>
    <t>(наименование главного распорядителя средств городского бюджета)</t>
  </si>
  <si>
    <t>(текущий финансовый год )</t>
  </si>
  <si>
    <t>Свод по управлению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</si>
  <si>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</si>
  <si>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</si>
  <si>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</si>
  <si>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</si>
  <si>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</si>
  <si>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</si>
  <si>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</si>
  <si>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</si>
  <si>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в том числе</t>
  </si>
  <si>
    <t>тепло</t>
  </si>
  <si>
    <t>свет</t>
  </si>
  <si>
    <t>вода</t>
  </si>
  <si>
    <t>услуги по содержанию помещения</t>
  </si>
  <si>
    <t>содержание помещения</t>
  </si>
  <si>
    <t>ремонт здания</t>
  </si>
  <si>
    <t>прочие услуги</t>
  </si>
  <si>
    <t>прочие расходы</t>
  </si>
  <si>
    <t>социальное обеспечения</t>
  </si>
  <si>
    <t>поступление нефинансовых активов</t>
  </si>
  <si>
    <t>увеличение ст-ти основных средств</t>
  </si>
  <si>
    <t>увел. ст-ти материальных запасов</t>
  </si>
  <si>
    <t>ГСМ</t>
  </si>
  <si>
    <t>хозяйственные расходы</t>
  </si>
  <si>
    <t>Глава муниципального образования</t>
  </si>
  <si>
    <t>0102</t>
  </si>
  <si>
    <t>500</t>
  </si>
  <si>
    <t>210</t>
  </si>
  <si>
    <t>211</t>
  </si>
  <si>
    <t>212</t>
  </si>
  <si>
    <t>213</t>
  </si>
  <si>
    <t>Администрация</t>
  </si>
  <si>
    <t>0104</t>
  </si>
  <si>
    <t>220</t>
  </si>
  <si>
    <t>221</t>
  </si>
  <si>
    <t>222</t>
  </si>
  <si>
    <t>223</t>
  </si>
  <si>
    <t>225</t>
  </si>
  <si>
    <t>226</t>
  </si>
  <si>
    <t>290</t>
  </si>
  <si>
    <t>262</t>
  </si>
  <si>
    <t>300</t>
  </si>
  <si>
    <t>310</t>
  </si>
  <si>
    <t>340</t>
  </si>
  <si>
    <t>340 4</t>
  </si>
  <si>
    <t>Свод Совет народных депутатов</t>
  </si>
  <si>
    <t>0103</t>
  </si>
  <si>
    <t>Резервный фонд администрации</t>
  </si>
  <si>
    <t>Расходы за счет субвенции на осуществление полномочий по первичному воинскому учету на территориях где отсутствуют военные комиссариаты</t>
  </si>
  <si>
    <t>0203</t>
  </si>
  <si>
    <t>Жилищно-коммунальное хозяйство</t>
  </si>
  <si>
    <t>0500</t>
  </si>
  <si>
    <t>000</t>
  </si>
  <si>
    <t>242</t>
  </si>
  <si>
    <t>Коммунальное хозяйство</t>
  </si>
  <si>
    <t>0502</t>
  </si>
  <si>
    <t>0503</t>
  </si>
  <si>
    <t>уличное освещение</t>
  </si>
  <si>
    <t>241</t>
  </si>
  <si>
    <t>Свод Образование</t>
  </si>
  <si>
    <t>ремонт оборудования</t>
  </si>
  <si>
    <t>капитальный ремонт</t>
  </si>
  <si>
    <t>содержание тревожной кнопки</t>
  </si>
  <si>
    <t>содержание АПС</t>
  </si>
  <si>
    <t>медикаменты</t>
  </si>
  <si>
    <t>прочие текущие расходы</t>
  </si>
  <si>
    <t>0707</t>
  </si>
  <si>
    <t>Свод по Культуре</t>
  </si>
  <si>
    <t>0801</t>
  </si>
  <si>
    <t>1003</t>
  </si>
  <si>
    <t>251</t>
  </si>
  <si>
    <t>перечисления другим бюджетам бюджетной системы РФ</t>
  </si>
  <si>
    <t>ИТОГО ПО ГОРОДУ</t>
  </si>
  <si>
    <t>ЖКХ</t>
  </si>
  <si>
    <t>приобретение оборудования</t>
  </si>
  <si>
    <t>Уведомления</t>
  </si>
  <si>
    <t xml:space="preserve">Дата </t>
  </si>
  <si>
    <t>Номер</t>
  </si>
  <si>
    <t>703</t>
  </si>
  <si>
    <t>0505</t>
  </si>
  <si>
    <t>Свод по ЖКХ</t>
  </si>
  <si>
    <t>безвозмездные поступления</t>
  </si>
  <si>
    <t>Пенсионное обеспечение</t>
  </si>
  <si>
    <t>1001</t>
  </si>
  <si>
    <t>доплата к пенсии муниципальным служащим</t>
  </si>
  <si>
    <t>263</t>
  </si>
  <si>
    <t>Содержание аппарата СНД</t>
  </si>
  <si>
    <t>увеличение стоимости основных  средств</t>
  </si>
  <si>
    <t>увеличение стоимости материальных запасов</t>
  </si>
  <si>
    <t>0111</t>
  </si>
  <si>
    <t>тревожная кнопка</t>
  </si>
  <si>
    <t>1101</t>
  </si>
  <si>
    <t>120</t>
  </si>
  <si>
    <t>121</t>
  </si>
  <si>
    <t>611</t>
  </si>
  <si>
    <t>241/225</t>
  </si>
  <si>
    <t>241/226</t>
  </si>
  <si>
    <t>социальные выплаты</t>
  </si>
  <si>
    <t>122</t>
  </si>
  <si>
    <t>244</t>
  </si>
  <si>
    <t>240</t>
  </si>
  <si>
    <t>пробретение услуг</t>
  </si>
  <si>
    <t>870</t>
  </si>
  <si>
    <t>110</t>
  </si>
  <si>
    <t>111</t>
  </si>
  <si>
    <t>0309</t>
  </si>
  <si>
    <t>межбюджетные трансферты</t>
  </si>
  <si>
    <t>Национальная экономика</t>
  </si>
  <si>
    <t>0409</t>
  </si>
  <si>
    <t>112</t>
  </si>
  <si>
    <t>851</t>
  </si>
  <si>
    <t>610</t>
  </si>
  <si>
    <t>612</t>
  </si>
  <si>
    <t>241/210</t>
  </si>
  <si>
    <t>241/211</t>
  </si>
  <si>
    <t>241/212</t>
  </si>
  <si>
    <t>241/213</t>
  </si>
  <si>
    <t>241/220</t>
  </si>
  <si>
    <t>241/221</t>
  </si>
  <si>
    <t>241/222</t>
  </si>
  <si>
    <t>241/223</t>
  </si>
  <si>
    <t>241/262</t>
  </si>
  <si>
    <t>241/290</t>
  </si>
  <si>
    <t>241/300</t>
  </si>
  <si>
    <t>241/310</t>
  </si>
  <si>
    <t>241/340</t>
  </si>
  <si>
    <t>321</t>
  </si>
  <si>
    <t>1102</t>
  </si>
  <si>
    <t>0113</t>
  </si>
  <si>
    <t>852</t>
  </si>
  <si>
    <t>Другие вопросы в области ЖКХ</t>
  </si>
  <si>
    <t>0700</t>
  </si>
  <si>
    <t>200</t>
  </si>
  <si>
    <t>услуги по содержанию имущества</t>
  </si>
  <si>
    <t>100</t>
  </si>
  <si>
    <t>800</t>
  </si>
  <si>
    <t>Жилищное хозяйство</t>
  </si>
  <si>
    <t>0501</t>
  </si>
  <si>
    <t>безвозмездные и безвозвратные перечисления</t>
  </si>
  <si>
    <t>600</t>
  </si>
  <si>
    <t>Межбюджетные трансферты</t>
  </si>
  <si>
    <t>540</t>
  </si>
  <si>
    <t>Администрация города Карабаново</t>
  </si>
  <si>
    <t>услуги по содержанию</t>
  </si>
  <si>
    <t>раздела,  подраздела</t>
  </si>
  <si>
    <t>Распоря-дителя (получателя) средств городского бюджета</t>
  </si>
  <si>
    <t>9990000110</t>
  </si>
  <si>
    <t>9990001110</t>
  </si>
  <si>
    <t>Дополнит.эк. классиф.</t>
  </si>
  <si>
    <t>9990000190</t>
  </si>
  <si>
    <t>9990020010</t>
  </si>
  <si>
    <t>0200020020</t>
  </si>
  <si>
    <t>Расходы на определение рыночной стоимости муниципального имущества путём независимой оценки муниципального имущества и оценки аренды муниципального имущества МО г.Карабаново</t>
  </si>
  <si>
    <t>0200120020</t>
  </si>
  <si>
    <t>Расходы на технические паспорта и технические планы объектов недвижимости МО г.Карабаново</t>
  </si>
  <si>
    <t>0100020010</t>
  </si>
  <si>
    <t>0100120010</t>
  </si>
  <si>
    <t>0100220010</t>
  </si>
  <si>
    <t>Расходы на осуществление государственного кадастрового учета земельных участков</t>
  </si>
  <si>
    <t>9990051180</t>
  </si>
  <si>
    <t>Национальная безопасность и правоохранительная деятельность</t>
  </si>
  <si>
    <t>1700120170</t>
  </si>
  <si>
    <t>МП "Обеспечение пожарной безопасности в городе Карабаново на период 2016-2018 годов"</t>
  </si>
  <si>
    <t>Расходы на обеспечение первичных мер пожарной безопасности, противопожарной защиты населённого пункта на территории муниципального образования</t>
  </si>
  <si>
    <t>1700020170</t>
  </si>
  <si>
    <t>03</t>
  </si>
  <si>
    <t>0000000000</t>
  </si>
  <si>
    <t>Межбюджетные трансферты на передачу части полномочий, на объединение финансовых средств, для создания аварийно-спасательного формирования в МО Александровский район</t>
  </si>
  <si>
    <t>0300020030</t>
  </si>
  <si>
    <t>Расходы на ремонт дорожного покрытия и объектов благоустройства улично-дорожной сети МО г.Карабаново</t>
  </si>
  <si>
    <t>0300120030</t>
  </si>
  <si>
    <t>Расходы на технический надзор за осуществлением ремонта дорожного покрытия и объектов благоустройства улично-дорожной сети МО г.Карабаново</t>
  </si>
  <si>
    <t>0300220030</t>
  </si>
  <si>
    <t>Расходы на содержание автомобильных дорог МО г.Карабаново и включающих в себя механическую и ручную очистку дорожного полотно и обочин, посыпку дорог пескосоляными смесями и противогололёдными реагентами, полив проезжей части</t>
  </si>
  <si>
    <t>0400020040</t>
  </si>
  <si>
    <t>0400120040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</si>
  <si>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заключёнными соглашениями, для обеспечения инженерной и транспортной инфраструктуры земельных участков, передаваемых многодетным семьям</t>
  </si>
  <si>
    <t>999001Ж020</t>
  </si>
  <si>
    <t>Расходы на капитальный ремонт жилого фонда, находящегося в муниципальной собственности</t>
  </si>
  <si>
    <t>9990020050</t>
  </si>
  <si>
    <t>Субсидии некоммерческим организациям на обеспечение мероприятий по ремонту многоквартирных домов</t>
  </si>
  <si>
    <t>9990009601</t>
  </si>
  <si>
    <t>630</t>
  </si>
  <si>
    <t>Благоустройство</t>
  </si>
  <si>
    <t>Расходы на содержание скверов,аллей площадей, пешеходных зон, включающих в себя механическую и ручную уборку, подметание, вывоз снега, россыпь противогололёдных реагентов, полив пешеходных зон и  тротуаров</t>
  </si>
  <si>
    <t>0800020080</t>
  </si>
  <si>
    <t>0800120080</t>
  </si>
  <si>
    <t>Расходы на озеленение (посадку зелёных насаждений) в городе Карабаново</t>
  </si>
  <si>
    <t>0800220080</t>
  </si>
  <si>
    <t>0900020090</t>
  </si>
  <si>
    <t>0900120090</t>
  </si>
  <si>
    <t>9990020060</t>
  </si>
  <si>
    <t>1100020110</t>
  </si>
  <si>
    <t>Расходы на выплаты по оплатетруда работников  МКУ"Дирекция жизнеобеспечения населения" города Карабаново</t>
  </si>
  <si>
    <t>1100120110</t>
  </si>
  <si>
    <t>Расходы на оплату услуг по содержанию здания и имущества</t>
  </si>
  <si>
    <t>1100220110</t>
  </si>
  <si>
    <t>1100320110</t>
  </si>
  <si>
    <t>Расходы на оплату налогов, сборов, штрафов и пеней</t>
  </si>
  <si>
    <t>850</t>
  </si>
  <si>
    <t>1100420110</t>
  </si>
  <si>
    <t>1100520110</t>
  </si>
  <si>
    <t>Расходы на приобретение горюче-смазочных материалов</t>
  </si>
  <si>
    <t>1100620110</t>
  </si>
  <si>
    <t>1100720110</t>
  </si>
  <si>
    <t>Хозяйственные расходы</t>
  </si>
  <si>
    <t>Расходы на оплату прочих работ, услуг, которые не относятся к услугам по содержанию имущества</t>
  </si>
  <si>
    <t>Расходы на увеличение стоимости основных средств</t>
  </si>
  <si>
    <t>1200020120</t>
  </si>
  <si>
    <t>Расходы на проведение городских мероприятий, праздников, фестивалей, выставок и конкурсов для детей и молодёжи</t>
  </si>
  <si>
    <t>1300020130</t>
  </si>
  <si>
    <t>1300120130</t>
  </si>
  <si>
    <t>Расходы на комплектование книжного фонда</t>
  </si>
  <si>
    <t>1300220130</t>
  </si>
  <si>
    <t>1300320130</t>
  </si>
  <si>
    <t>Расходы на ремонт фасада здания Дома культуры</t>
  </si>
  <si>
    <t>1300420130</t>
  </si>
  <si>
    <t>Субсидии на финансовое обеспечение муниципального задания на оказание муниципальных услуг (выполнение работ) МБУК Дом культуры города Карабаново</t>
  </si>
  <si>
    <t>1300520130</t>
  </si>
  <si>
    <t>Социальная политика</t>
  </si>
  <si>
    <t>10</t>
  </si>
  <si>
    <t>9990020070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</si>
  <si>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жильем молодые семьи</t>
  </si>
  <si>
    <t>999001Ж010</t>
  </si>
  <si>
    <t>Социальное обеспечение населения</t>
  </si>
  <si>
    <t>Другие вопросы в области социальной политики</t>
  </si>
  <si>
    <t>1006</t>
  </si>
  <si>
    <t>1500020150</t>
  </si>
  <si>
    <t>Расходы на проведение городских мероприятий для инвалидов</t>
  </si>
  <si>
    <t>1400020140</t>
  </si>
  <si>
    <t>1500220150</t>
  </si>
  <si>
    <t>Расходы на проведение городских мероприятий, праздников, фестивалей, выставок и конкурсов</t>
  </si>
  <si>
    <t>1400120140</t>
  </si>
  <si>
    <t>1600020160</t>
  </si>
  <si>
    <t>Физическая культура и спорт</t>
  </si>
  <si>
    <t>1100</t>
  </si>
  <si>
    <t>Другие вопросы в области физической культуры и спорта</t>
  </si>
  <si>
    <t>Расходы на проведение городских спортивных мероприятий, соревнованипй, турниров, гонок, эстафет</t>
  </si>
  <si>
    <t>Субсидии на финансовое обеспечение муниципального задания на оказание муниципальных услуг (выполнение работ) МБУ Центр физической культуры и спорта детей и юношества "Карабановец"</t>
  </si>
  <si>
    <t>1600420160</t>
  </si>
  <si>
    <t>1600120160</t>
  </si>
  <si>
    <t>Расходы на приобретение спортивного инвентаря</t>
  </si>
  <si>
    <t>1600220160</t>
  </si>
  <si>
    <t>1600320160</t>
  </si>
  <si>
    <t>Расходы на оборудование в микрорайонах города Карабаново детских спортивных площадок</t>
  </si>
  <si>
    <t>9990060080</t>
  </si>
  <si>
    <t>Расходы на обеспечение функций органов местного самоуправления по размещению информации в средствах массовой информации</t>
  </si>
  <si>
    <t>Расходы на приобретение для городской библиотеки техники, мебели в читальный зал</t>
  </si>
  <si>
    <t>Субсидии на финансовое обеспечение муниципального задания на оказание муниципальных услуг (выполнение работ) МБУК "Карабановская городская библиотека имени Ю.Н.Худова"</t>
  </si>
  <si>
    <t>1200120120</t>
  </si>
  <si>
    <t>Расходы на очистку территории кладбища</t>
  </si>
  <si>
    <t>Расходы на выплаты по оплате труда работников  МКУ"Дирекция жизнеобеспечения населения" города Карабаново</t>
  </si>
  <si>
    <t>коммунальные услуги:</t>
  </si>
  <si>
    <t>теплоснабжение</t>
  </si>
  <si>
    <t>энергоснабжение</t>
  </si>
  <si>
    <t>водоснабжение</t>
  </si>
  <si>
    <t>223.1</t>
  </si>
  <si>
    <t>223.2</t>
  </si>
  <si>
    <t>223.3</t>
  </si>
  <si>
    <t>газоснабжение</t>
  </si>
  <si>
    <t>223.4</t>
  </si>
  <si>
    <t>Расходы на обеспечение функций органов местного самоуправления на управление муниципальным имуществом</t>
  </si>
  <si>
    <t>999002Ц050</t>
  </si>
  <si>
    <t>0700020070</t>
  </si>
  <si>
    <t>0700120070</t>
  </si>
  <si>
    <t>Расходы на оснащение и модернизацию уличного освещения</t>
  </si>
  <si>
    <t>Расходы на обустройство площадок для сбора мусора</t>
  </si>
  <si>
    <t>0900320090</t>
  </si>
  <si>
    <t>ОХРАНА ОКРУЖАЮЩЕЙ СРЕДЫ</t>
  </si>
  <si>
    <t>0600</t>
  </si>
  <si>
    <t>Расходы на обеспечение функций органов местного самоуправления по вопросам охраны окружающей среды</t>
  </si>
  <si>
    <t>0605</t>
  </si>
  <si>
    <t>999002П050</t>
  </si>
  <si>
    <t>1300620130</t>
  </si>
  <si>
    <t>Расходы на ремонт в здании библиотеки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</si>
  <si>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жильем многодетные семьи</t>
  </si>
  <si>
    <t>999001Ж040</t>
  </si>
  <si>
    <t>Расходы на выделение мест для стоянки автотранспортных средств инвалидов с установкой опознавательных знаков и дорожной разметки</t>
  </si>
  <si>
    <t>1500320150</t>
  </si>
  <si>
    <t>Расходы на установку ограждения вокруг стадиона</t>
  </si>
  <si>
    <t>1600520160</t>
  </si>
  <si>
    <t>содержание имущества</t>
  </si>
  <si>
    <t>газ</t>
  </si>
  <si>
    <t>340.3</t>
  </si>
  <si>
    <t>МП "Приведение в нормативное состояние улично-дорожной сети и объектов благоустройства МО город Карабаново в 2014-2019 годах"</t>
  </si>
  <si>
    <t>МП "Формирование доступной среды жизнедеятельности для инвалидов в городе Карабаново на 2014-2019 годы"</t>
  </si>
  <si>
    <t>МП "Социальная политика города Карабаново на 2017-2019 годы"</t>
  </si>
  <si>
    <t>129</t>
  </si>
  <si>
    <t>119</t>
  </si>
  <si>
    <t>634</t>
  </si>
  <si>
    <t>Уплата членских взносов и иных платежей</t>
  </si>
  <si>
    <t>1100820110</t>
  </si>
  <si>
    <t>853</t>
  </si>
  <si>
    <t>Транспортные расходы по доставке строительных материалов в целях проведения ремонта дорог в границах муниципального образования</t>
  </si>
  <si>
    <t>0300820030</t>
  </si>
  <si>
    <t>Расходы на устройство барьерного ограждения вдоль дороги местного значения</t>
  </si>
  <si>
    <t>Оценка уязвимости объектов транспортной инфраструктуры муниципального образования город Карабаново</t>
  </si>
  <si>
    <t>0300920030</t>
  </si>
  <si>
    <t>Разработка планов обеспечения транспортной безопасности объектов транспортной инфраструктуры муниципального образования город Карабаново</t>
  </si>
  <si>
    <t>0301020030</t>
  </si>
  <si>
    <t>Изготовление проекта организации дорожного движения муниципального образования город Карабаново</t>
  </si>
  <si>
    <t>0301120030</t>
  </si>
  <si>
    <t>0500020050</t>
  </si>
  <si>
    <t>0500120050</t>
  </si>
  <si>
    <t>МП "Благоустройство территории города Карабаново на 2014-2017 годы"</t>
  </si>
  <si>
    <t>1000020100</t>
  </si>
  <si>
    <t>Расходы на отлов бродячих животных в границах муниципального образования город Карабаново</t>
  </si>
  <si>
    <t>МП "Программа модернизации систем водоснабжения и водоотведения города Карабаново на 2017 - 2019 годы"</t>
  </si>
  <si>
    <t>1000720100</t>
  </si>
  <si>
    <t>0300320030</t>
  </si>
  <si>
    <t>Субсидия на финансовое обеспечение дорожной деятельности в отношении автомобильных дорог общего пользования местного значения в рамках поручений Губернатора Владимирской области</t>
  </si>
  <si>
    <t>0300572460</t>
  </si>
  <si>
    <t>Взносы на капитальный ремонт жилого фонда, находящегося в муниципальной собственности поселения, в Фонд капитального ремонта многоквартирных домов Владимирской области</t>
  </si>
  <si>
    <t>Расходы на содержание муниципального жилого фонда</t>
  </si>
  <si>
    <t>999002М050</t>
  </si>
  <si>
    <t>1600620160</t>
  </si>
  <si>
    <t xml:space="preserve">Транспортные расходы </t>
  </si>
  <si>
    <t>Расходы  на  питание воспитанников во время соревнований, проходящих за пределами города</t>
  </si>
  <si>
    <t>1600720160</t>
  </si>
  <si>
    <t>Расходы на исполнение судебных актов Российской Федерации</t>
  </si>
  <si>
    <t>999002С010</t>
  </si>
  <si>
    <t>831</t>
  </si>
  <si>
    <t>0400</t>
  </si>
  <si>
    <t>Сельское хозяйство и рыболовство</t>
  </si>
  <si>
    <t>0405</t>
  </si>
  <si>
    <t>Дорожное хозяйство</t>
  </si>
  <si>
    <t>Расходы на финансовое обеспечение дорожной деятельности в отношении автомобильных дорог общего пользования местного значения в рамках поручений Губернатора Владимирской области (доля муниципального образования)</t>
  </si>
  <si>
    <t>03012S2460</t>
  </si>
  <si>
    <t>9990010050</t>
  </si>
  <si>
    <t>9990010200</t>
  </si>
  <si>
    <t>9990010810</t>
  </si>
  <si>
    <t>Расходы на установку дорожных знаков</t>
  </si>
  <si>
    <t>1000320100</t>
  </si>
  <si>
    <t>Расходы на проведение городских мероприятий, праздников, фестивалей, выставок и конкурсов"</t>
  </si>
  <si>
    <t>1300720130</t>
  </si>
  <si>
    <t>Территориальная избирательная комиссия Александровского района</t>
  </si>
  <si>
    <t xml:space="preserve">Выборы в представительные органы  </t>
  </si>
  <si>
    <t>0107</t>
  </si>
  <si>
    <t>880</t>
  </si>
  <si>
    <t>999000Г110</t>
  </si>
  <si>
    <t>1000420100</t>
  </si>
  <si>
    <t>Социальные выплаты</t>
  </si>
  <si>
    <t>999002Ж050</t>
  </si>
  <si>
    <t>320</t>
  </si>
  <si>
    <t>Расходы на материальноеобеспечение предоставления дополнительных мер социальной поддержки граждан,проживающих в одноэтажных жилых домах с централизованным отоплением города Карабаново</t>
  </si>
  <si>
    <t>0301320030</t>
  </si>
  <si>
    <t>Расходы на обустройство пешеходных переходов на автомобильные дороги г.Карабаново</t>
  </si>
  <si>
    <t>Расходы на материальное обеспечение спиливания и кронирования  деревьев в лесопарковых и придорожных зонах</t>
  </si>
  <si>
    <t>Расходы на исполнение функций учредителя</t>
  </si>
  <si>
    <t>999002Ф050</t>
  </si>
  <si>
    <t>1000920100</t>
  </si>
  <si>
    <t>Расходы на приобретение и установку новогодней атрибутики</t>
  </si>
  <si>
    <t>Расходы на ямочный ремонт автомобильных дорог муниципального образования город Карабаново</t>
  </si>
  <si>
    <t>0400220040</t>
  </si>
  <si>
    <t>1900120030</t>
  </si>
  <si>
    <t>МП "Программа комплексного развития транспортной инфраструктуры МО г.Карабаново на 2017-2030 годы</t>
  </si>
  <si>
    <t>1900220030</t>
  </si>
  <si>
    <t>1300870390</t>
  </si>
  <si>
    <t>1300920390</t>
  </si>
  <si>
    <t>МП "Проведение оценки муниципального имущества города Карабаново и оценки аренды муниципального имущества города Карабаново на 2018-2020годы"</t>
  </si>
  <si>
    <t>МП "Программа модернизации уличного освещения в г.Карабаново на 2014-2020 годы"</t>
  </si>
  <si>
    <t>МП "Содержание скверов, аллей, площадей, пешеходных зон в городе Карабаново на 2018-2020 годы"</t>
  </si>
  <si>
    <t xml:space="preserve">МП "Осуществление комплекса мероприятий по оказанию услуг в сфере коммунального и  хозяйственного обеспечения деятельности МКУ"ДЖН" города Карабаново на 2018-2020 годы" </t>
  </si>
  <si>
    <t>999001Ф060</t>
  </si>
  <si>
    <t>Расходы на повышение оплаты труда работников бюджетной сферы города Карабаново в соответствии с Указом Президента РФ от 07.05.12 г № 597, № 761  от 01.07.2012 г (Дом культуры) (Предоставление субсидий бюджетным учреждениям) (доля областного бюджета)</t>
  </si>
  <si>
    <t>Расходы на повышение оплаты труда работников бюджетной сферы города Карабаново в соответствии с Указом Президента РФ от 07.05.12 г № 597, № 761  от 01.07.2012 г (Карабановская городская библиотека им.Ю.Н.Худова) (Предоставление субсидий бюджетным учреждениям) (доля областного бюджета)</t>
  </si>
  <si>
    <t>Расходы на повышение оплаты труда работников бюджетной сферы города Карабаново в соответствии с Указом Президента РФ от 07.05.12 г № 597, № 761  от 01.07.2012 г (Дом культуры) (Предоставление субсидий бюджетным учреждениям) (доля муниципального образования)</t>
  </si>
  <si>
    <t>Расходы на повышение оплаты труда работников бюджетной сферы города Карабаново в соответствии с Указом Президента РФ от 07.05.12 г № 597, № 761  от 01.07.2012 г (Карабановская городская библиотека им.Ю.Н.Худова) (Предоставление субсидий бюджетным учреждениям) (доля муниципального образования)</t>
  </si>
  <si>
    <t>МП "Благоустройство и реконструкция кладбища в городе Карабаново на 2018-2020 годы"</t>
  </si>
  <si>
    <t>МП "Детская и молодежная политика города Карабаново на 2018-2020 годы"</t>
  </si>
  <si>
    <t>МП "Сохранение и развитие культуры города Карабаново на 2018-2020 годы"</t>
  </si>
  <si>
    <t>МП "Развитие физической культуры и спорта города Карабаново на 2018-2020 годы"</t>
  </si>
  <si>
    <t>МП "Содержание автомобильных дорог местного значения МО город Карабаново на 2018-2020 годы"</t>
  </si>
  <si>
    <t>1900320030</t>
  </si>
  <si>
    <t>0700220070</t>
  </si>
  <si>
    <t>МП " Программа модернизации уличного освещения в городе Карабаново на 2014-2019 годы"</t>
  </si>
  <si>
    <t>2100120021</t>
  </si>
  <si>
    <t>2100020021</t>
  </si>
  <si>
    <t>МП "Энергосбережение и повышение энергетической эффективности на территории муниципального образования "Городское поселение Карабаново" Владимирской области на 2010-2020 годы"</t>
  </si>
  <si>
    <t>проверка</t>
  </si>
  <si>
    <t>МП "Формирование современной городской среды на 2018 - 2022 г.г."</t>
  </si>
  <si>
    <t>2000020200</t>
  </si>
  <si>
    <t xml:space="preserve"> " Расходы на оснощение и модернизацию уличного освещения"</t>
  </si>
  <si>
    <t xml:space="preserve"> " Расходы на техническое обслуживание уличного освещения"</t>
  </si>
  <si>
    <t xml:space="preserve"> " Возмещение затрат на установку индивидуальных приборов учета"</t>
  </si>
  <si>
    <t>Расходы на благоустройство дворовых территорий многоквартирных домов"</t>
  </si>
  <si>
    <t>2000120200</t>
  </si>
  <si>
    <t>2000220200</t>
  </si>
  <si>
    <t>Расходы на "Технический надзор за мероприятиями по благоустройству дворовых территорий многоквартирных домов"</t>
  </si>
  <si>
    <t>2000325550</t>
  </si>
  <si>
    <t>Расходы на благоустройство дворовых территорий многоквартирных домов за средств субсидии из областного бюджета"</t>
  </si>
  <si>
    <t>Расходы на преобретение аттракционов для городского парка"</t>
  </si>
  <si>
    <t>1301020130</t>
  </si>
  <si>
    <t>Расходы на доведение заработной платы работникам МКУ "Дирекция жизнеобеспечения населения" город Карабаново до МРОТ"</t>
  </si>
  <si>
    <t>1100920110</t>
  </si>
  <si>
    <t>1900572460</t>
  </si>
  <si>
    <t>20003R5550</t>
  </si>
  <si>
    <t>Субсидиина финансовое обеспечение муниципального задания на оказание муниципальных услуг(выполнение работ) на доведение заработной платы работников МБУК"Дом Культуры" г.Карабаново до МРОТ</t>
  </si>
  <si>
    <t>1301120130</t>
  </si>
  <si>
    <t>9990014970</t>
  </si>
  <si>
    <t>МП " Переселение граждан из аварийного жилищного фонда в муниципальном образовании город Карабаново Александровского района Владимирской области на 2018-2022 годы""</t>
  </si>
  <si>
    <t>"Расходы реализацию мероприятий по переселению граждан из аварийного жилищного фонда на территории муниципального образования город Карабаново (доля областного бюджета)</t>
  </si>
  <si>
    <t>322</t>
  </si>
  <si>
    <t>"Расходы реализацию мероприятий по переселению граждан из аварийного жилищного фонда на территории муниципального образования город Карабаново (доля софинансирования местного бюджета)</t>
  </si>
  <si>
    <t>2200209602</t>
  </si>
  <si>
    <t>Субсидиина финансовое обеспечение муниципального задания на оказание муниципальных услуг(выполнение работ) на доведение заработной платы работников МБУ Центр физической культуры и спорта детей и юношества "Карабановец" до МРОТ</t>
  </si>
  <si>
    <t>1900020030</t>
  </si>
  <si>
    <t>0412</t>
  </si>
  <si>
    <t>Резерв для участия в региональных программах</t>
  </si>
  <si>
    <t>9990020080</t>
  </si>
  <si>
    <t>1901120030</t>
  </si>
  <si>
    <t>Расходы на материальное обеспечение изготовление проекта организации дорожного движения муниципального образования город Карабаново</t>
  </si>
  <si>
    <t>0500220050</t>
  </si>
  <si>
    <t>Расходы на проектирование канализационного коллектора на территории муниципального образования город Карабаново</t>
  </si>
  <si>
    <t>Расходы на изготовление проектно-сметной документации по приобретению и установке фильтра обеззараживания сточных вод"</t>
  </si>
  <si>
    <t>20001L5550</t>
  </si>
  <si>
    <t>"Расходы на проведение ремонта и обеспечение благоустройства дворовых территорий многоквартирных домов"</t>
  </si>
  <si>
    <t>Расходы на проведение экспертизы сметной документации при проведении ремонта и обеспечении благоустройства дворовых территорий многоквартирных домов</t>
  </si>
  <si>
    <t>2200120220</t>
  </si>
  <si>
    <t>2200220220</t>
  </si>
  <si>
    <t>2000420200</t>
  </si>
  <si>
    <t>Расходы на текущий ремонт дороги по улице "переулок Чистопольный"</t>
  </si>
  <si>
    <t>1900420030</t>
  </si>
  <si>
    <t>2200020220</t>
  </si>
  <si>
    <t>1001020100</t>
  </si>
  <si>
    <t>Расходы на приобретение автомобильной техники</t>
  </si>
  <si>
    <t>МП "Благоустройство территории города Карабаново на 2014-2018 годы"</t>
  </si>
  <si>
    <t>" ____ " _______________ 20 18_ год</t>
  </si>
  <si>
    <t>2200320220</t>
  </si>
  <si>
    <t>Расходы на материальное обеспечение мероприятий по проведению оценки жилого фонда</t>
  </si>
  <si>
    <t>2200129602</t>
  </si>
  <si>
    <t>0700320070</t>
  </si>
  <si>
    <t>"Расходы на материальное оеспечение мероприятий по подключению к сетям энергоснажения земельных участков,передаваемых многодетным семьям"</t>
  </si>
  <si>
    <t>Субсидии на иные цели,не связанные с финансовым выполнением муниципального задания МБУК "Карабановская городская библиотека имени Ю.Н. Худова"</t>
  </si>
  <si>
    <t>1301220130</t>
  </si>
  <si>
    <t>Субсидии на иные цели, не связанные с финансовым выполнением муниципального задания МБУ "Центр физической культуры и спорта детей и юношества  "Карабановец"</t>
  </si>
  <si>
    <t>2200029602</t>
  </si>
  <si>
    <t>Расходы на несение горизонтальной разметки  на автомобильной  дороге г.Карабаново"</t>
  </si>
  <si>
    <t>1900620030</t>
  </si>
  <si>
    <t>1900720030</t>
  </si>
  <si>
    <t>Расходы по доставке строительных материалов в целях проведения ремонта дорог в границах муниципального образования</t>
  </si>
  <si>
    <t>Расходы на софинансирование проектов модернизации по концессионным соглашениям в сфере тепло-, водоснабжения, водоотведения, очистки  сточных вод и обращения с твердыми комунальными отходами (субсидия из областного бюджета)</t>
  </si>
  <si>
    <t>2100229505</t>
  </si>
  <si>
    <t>Расходы на изготовление проектно-сметной документации по ремонту городских канализационных очистных сооружений"</t>
  </si>
  <si>
    <t>Расходы на проведение и обеспечение благоустройство дворовых территорий многоквартирных домов за средств субсидии из областного бюджета"</t>
  </si>
  <si>
    <t>20003L5550</t>
  </si>
  <si>
    <t>Расходы на содержание автомобильных дорог МО г.Карабаново и включающих в себя механическую и ручную очистку дорожного полотно и обочин, посыпку дорог пескосоляными смесями и противогололёдными реагентами, полив проезжей части (исполнение судебных актов)</t>
  </si>
  <si>
    <t>Расходы на содержание скверов,аллей площадей, пешеходных зон, включающих в себя механическую и ручную уборку, подметание, вывоз снега, россыпь противогололёдных реагентов, полив пешеходных зон и  тротуаров(исполнение судебных актов)</t>
  </si>
  <si>
    <t>2100320021</t>
  </si>
  <si>
    <t>Расходы на материальное обеспечение изготовления проектной документации для строительных модульных котельных</t>
  </si>
  <si>
    <t>Субсидии на иные цели,не связанные с финансовым выполнением муниципального задания МБУК Дом Культуры" г.Карабаново</t>
  </si>
  <si>
    <t>1301320130</t>
  </si>
  <si>
    <t>Расходы на приобретение и установку новогодней атрибутики(за счет безвозмездных поступлений от граждан)</t>
  </si>
  <si>
    <t xml:space="preserve"> Глава администрации</t>
  </si>
  <si>
    <t>Л.Ю.Емельянова</t>
  </si>
  <si>
    <t>НА  01.01.2019</t>
  </si>
  <si>
    <t>МП "Оформление права собственности на муниципальное имущество МО город Карабаново на 2014-2018 годы"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</si>
</sst>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0.0000"/>
    <numFmt numFmtId="175" formatCode="0.0"/>
    <numFmt numFmtId="176" formatCode="0.00000"/>
    <numFmt numFmtId="177" formatCode="0.000000"/>
    <numFmt numFmtId="178" formatCode="#,##0.00&quot;р.&quot;"/>
    <numFmt numFmtId="179" formatCode="#,##0.00000"/>
    <numFmt numFmtId="180" formatCode="0.0000000"/>
  </numFmts>
  <fonts count="5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right"/>
    </xf>
    <xf numFmtId="0" fontId="7" fillId="33" borderId="13" xfId="0" applyFont="1" applyFill="1" applyBorder="1" applyAlignment="1">
      <alignment wrapText="1"/>
    </xf>
    <xf numFmtId="49" fontId="7" fillId="33" borderId="13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0" fontId="11" fillId="33" borderId="13" xfId="0" applyNumberFormat="1" applyFont="1" applyFill="1" applyBorder="1" applyAlignment="1">
      <alignment horizontal="left" wrapText="1"/>
    </xf>
    <xf numFmtId="49" fontId="11" fillId="33" borderId="13" xfId="0" applyNumberFormat="1" applyFont="1" applyFill="1" applyBorder="1" applyAlignment="1">
      <alignment/>
    </xf>
    <xf numFmtId="0" fontId="11" fillId="33" borderId="13" xfId="0" applyFont="1" applyFill="1" applyBorder="1" applyAlignment="1">
      <alignment wrapText="1"/>
    </xf>
    <xf numFmtId="0" fontId="10" fillId="33" borderId="13" xfId="0" applyFont="1" applyFill="1" applyBorder="1" applyAlignment="1">
      <alignment wrapText="1"/>
    </xf>
    <xf numFmtId="0" fontId="15" fillId="33" borderId="13" xfId="0" applyFont="1" applyFill="1" applyBorder="1" applyAlignment="1">
      <alignment wrapText="1"/>
    </xf>
    <xf numFmtId="0" fontId="10" fillId="33" borderId="13" xfId="0" applyFont="1" applyFill="1" applyBorder="1" applyAlignment="1">
      <alignment horizontal="left"/>
    </xf>
    <xf numFmtId="49" fontId="10" fillId="33" borderId="13" xfId="0" applyNumberFormat="1" applyFont="1" applyFill="1" applyBorder="1" applyAlignment="1">
      <alignment/>
    </xf>
    <xf numFmtId="49" fontId="4" fillId="33" borderId="13" xfId="0" applyNumberFormat="1" applyFont="1" applyFill="1" applyBorder="1" applyAlignment="1">
      <alignment/>
    </xf>
    <xf numFmtId="0" fontId="9" fillId="33" borderId="13" xfId="0" applyFont="1" applyFill="1" applyBorder="1" applyAlignment="1">
      <alignment wrapText="1"/>
    </xf>
    <xf numFmtId="0" fontId="7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>
      <alignment wrapText="1"/>
    </xf>
    <xf numFmtId="49" fontId="2" fillId="33" borderId="13" xfId="0" applyNumberFormat="1" applyFont="1" applyFill="1" applyBorder="1" applyAlignment="1">
      <alignment vertical="center"/>
    </xf>
    <xf numFmtId="49" fontId="13" fillId="33" borderId="13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 wrapText="1"/>
    </xf>
    <xf numFmtId="0" fontId="9" fillId="33" borderId="13" xfId="0" applyFont="1" applyFill="1" applyBorder="1" applyAlignment="1">
      <alignment horizontal="left" vertical="top"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33" borderId="14" xfId="0" applyNumberFormat="1" applyFont="1" applyFill="1" applyBorder="1" applyAlignment="1">
      <alignment horizontal="center" wrapText="1"/>
    </xf>
    <xf numFmtId="49" fontId="2" fillId="33" borderId="13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49" fontId="10" fillId="33" borderId="13" xfId="0" applyNumberFormat="1" applyFont="1" applyFill="1" applyBorder="1" applyAlignment="1">
      <alignment horizontal="center"/>
    </xf>
    <xf numFmtId="0" fontId="10" fillId="33" borderId="0" xfId="0" applyFont="1" applyFill="1" applyAlignment="1">
      <alignment wrapText="1"/>
    </xf>
    <xf numFmtId="0" fontId="12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49" fontId="15" fillId="33" borderId="13" xfId="0" applyNumberFormat="1" applyFont="1" applyFill="1" applyBorder="1" applyAlignment="1">
      <alignment/>
    </xf>
    <xf numFmtId="49" fontId="11" fillId="33" borderId="13" xfId="0" applyNumberFormat="1" applyFont="1" applyFill="1" applyBorder="1" applyAlignment="1">
      <alignment wrapText="1"/>
    </xf>
    <xf numFmtId="0" fontId="11" fillId="33" borderId="13" xfId="0" applyFont="1" applyFill="1" applyBorder="1" applyAlignment="1">
      <alignment vertical="top" wrapText="1"/>
    </xf>
    <xf numFmtId="49" fontId="2" fillId="33" borderId="13" xfId="0" applyNumberFormat="1" applyFont="1" applyFill="1" applyBorder="1" applyAlignment="1">
      <alignment vertical="top"/>
    </xf>
    <xf numFmtId="0" fontId="2" fillId="33" borderId="13" xfId="0" applyFont="1" applyFill="1" applyBorder="1" applyAlignment="1">
      <alignment vertical="top" wrapText="1"/>
    </xf>
    <xf numFmtId="49" fontId="2" fillId="33" borderId="13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/>
    </xf>
    <xf numFmtId="49" fontId="2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vertical="top" wrapText="1"/>
    </xf>
    <xf numFmtId="2" fontId="4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2" fontId="4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2" fillId="33" borderId="0" xfId="0" applyNumberFormat="1" applyFont="1" applyFill="1" applyBorder="1" applyAlignment="1">
      <alignment/>
    </xf>
    <xf numFmtId="2" fontId="0" fillId="33" borderId="0" xfId="0" applyNumberFormat="1" applyFill="1" applyAlignment="1">
      <alignment/>
    </xf>
    <xf numFmtId="2" fontId="2" fillId="33" borderId="13" xfId="0" applyNumberFormat="1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2" fontId="2" fillId="33" borderId="17" xfId="0" applyNumberFormat="1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176" fontId="10" fillId="33" borderId="13" xfId="0" applyNumberFormat="1" applyFont="1" applyFill="1" applyBorder="1" applyAlignment="1">
      <alignment/>
    </xf>
    <xf numFmtId="176" fontId="8" fillId="33" borderId="13" xfId="0" applyNumberFormat="1" applyFont="1" applyFill="1" applyBorder="1" applyAlignment="1">
      <alignment/>
    </xf>
    <xf numFmtId="176" fontId="2" fillId="33" borderId="13" xfId="0" applyNumberFormat="1" applyFont="1" applyFill="1" applyBorder="1" applyAlignment="1">
      <alignment/>
    </xf>
    <xf numFmtId="176" fontId="0" fillId="33" borderId="13" xfId="0" applyNumberFormat="1" applyFill="1" applyBorder="1" applyAlignment="1">
      <alignment/>
    </xf>
    <xf numFmtId="9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176" fontId="7" fillId="33" borderId="13" xfId="0" applyNumberFormat="1" applyFont="1" applyFill="1" applyBorder="1" applyAlignment="1">
      <alignment/>
    </xf>
    <xf numFmtId="176" fontId="2" fillId="33" borderId="13" xfId="0" applyNumberFormat="1" applyFont="1" applyFill="1" applyBorder="1" applyAlignment="1">
      <alignment horizontal="right"/>
    </xf>
    <xf numFmtId="176" fontId="0" fillId="33" borderId="13" xfId="0" applyNumberFormat="1" applyFont="1" applyFill="1" applyBorder="1" applyAlignment="1">
      <alignment/>
    </xf>
    <xf numFmtId="176" fontId="8" fillId="33" borderId="13" xfId="0" applyNumberFormat="1" applyFont="1" applyFill="1" applyBorder="1" applyAlignment="1">
      <alignment horizontal="center"/>
    </xf>
    <xf numFmtId="176" fontId="11" fillId="33" borderId="13" xfId="0" applyNumberFormat="1" applyFont="1" applyFill="1" applyBorder="1" applyAlignment="1">
      <alignment/>
    </xf>
    <xf numFmtId="2" fontId="11" fillId="33" borderId="13" xfId="0" applyNumberFormat="1" applyFont="1" applyFill="1" applyBorder="1" applyAlignment="1">
      <alignment/>
    </xf>
    <xf numFmtId="1" fontId="11" fillId="33" borderId="13" xfId="0" applyNumberFormat="1" applyFont="1" applyFill="1" applyBorder="1" applyAlignment="1">
      <alignment/>
    </xf>
    <xf numFmtId="175" fontId="11" fillId="33" borderId="13" xfId="0" applyNumberFormat="1" applyFont="1" applyFill="1" applyBorder="1" applyAlignment="1">
      <alignment/>
    </xf>
    <xf numFmtId="1" fontId="2" fillId="33" borderId="13" xfId="0" applyNumberFormat="1" applyFont="1" applyFill="1" applyBorder="1" applyAlignment="1">
      <alignment/>
    </xf>
    <xf numFmtId="175" fontId="2" fillId="33" borderId="13" xfId="0" applyNumberFormat="1" applyFont="1" applyFill="1" applyBorder="1" applyAlignment="1">
      <alignment/>
    </xf>
    <xf numFmtId="176" fontId="12" fillId="33" borderId="13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176" fontId="0" fillId="33" borderId="13" xfId="0" applyNumberFormat="1" applyFill="1" applyBorder="1" applyAlignment="1">
      <alignment horizontal="left" indent="1"/>
    </xf>
    <xf numFmtId="176" fontId="0" fillId="33" borderId="13" xfId="0" applyNumberFormat="1" applyFill="1" applyBorder="1" applyAlignment="1">
      <alignment/>
    </xf>
    <xf numFmtId="0" fontId="0" fillId="33" borderId="0" xfId="0" applyFill="1" applyAlignment="1">
      <alignment vertical="top"/>
    </xf>
    <xf numFmtId="176" fontId="2" fillId="33" borderId="13" xfId="0" applyNumberFormat="1" applyFont="1" applyFill="1" applyBorder="1" applyAlignment="1">
      <alignment vertical="top"/>
    </xf>
    <xf numFmtId="176" fontId="0" fillId="33" borderId="13" xfId="0" applyNumberFormat="1" applyFill="1" applyBorder="1" applyAlignment="1">
      <alignment vertical="top"/>
    </xf>
    <xf numFmtId="2" fontId="0" fillId="33" borderId="0" xfId="0" applyNumberFormat="1" applyFill="1" applyAlignment="1">
      <alignment horizontal="center"/>
    </xf>
    <xf numFmtId="176" fontId="2" fillId="33" borderId="19" xfId="0" applyNumberFormat="1" applyFont="1" applyFill="1" applyBorder="1" applyAlignment="1">
      <alignment/>
    </xf>
    <xf numFmtId="174" fontId="2" fillId="33" borderId="13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176" fontId="0" fillId="33" borderId="0" xfId="0" applyNumberFormat="1" applyFill="1" applyAlignment="1">
      <alignment/>
    </xf>
    <xf numFmtId="172" fontId="2" fillId="33" borderId="13" xfId="0" applyNumberFormat="1" applyFont="1" applyFill="1" applyBorder="1" applyAlignment="1">
      <alignment/>
    </xf>
    <xf numFmtId="2" fontId="2" fillId="33" borderId="13" xfId="0" applyNumberFormat="1" applyFont="1" applyFill="1" applyBorder="1" applyAlignment="1">
      <alignment/>
    </xf>
    <xf numFmtId="174" fontId="7" fillId="33" borderId="13" xfId="0" applyNumberFormat="1" applyFont="1" applyFill="1" applyBorder="1" applyAlignment="1">
      <alignment/>
    </xf>
    <xf numFmtId="174" fontId="11" fillId="33" borderId="13" xfId="0" applyNumberFormat="1" applyFont="1" applyFill="1" applyBorder="1" applyAlignment="1">
      <alignment/>
    </xf>
    <xf numFmtId="172" fontId="7" fillId="33" borderId="13" xfId="0" applyNumberFormat="1" applyFont="1" applyFill="1" applyBorder="1" applyAlignment="1">
      <alignment/>
    </xf>
    <xf numFmtId="172" fontId="11" fillId="33" borderId="13" xfId="0" applyNumberFormat="1" applyFont="1" applyFill="1" applyBorder="1" applyAlignment="1">
      <alignment/>
    </xf>
    <xf numFmtId="2" fontId="7" fillId="33" borderId="13" xfId="0" applyNumberFormat="1" applyFont="1" applyFill="1" applyBorder="1" applyAlignment="1">
      <alignment/>
    </xf>
    <xf numFmtId="175" fontId="7" fillId="33" borderId="13" xfId="0" applyNumberFormat="1" applyFont="1" applyFill="1" applyBorder="1" applyAlignment="1">
      <alignment/>
    </xf>
    <xf numFmtId="1" fontId="7" fillId="33" borderId="13" xfId="0" applyNumberFormat="1" applyFont="1" applyFill="1" applyBorder="1" applyAlignment="1">
      <alignment/>
    </xf>
    <xf numFmtId="174" fontId="10" fillId="33" borderId="13" xfId="0" applyNumberFormat="1" applyFont="1" applyFill="1" applyBorder="1" applyAlignment="1">
      <alignment/>
    </xf>
    <xf numFmtId="172" fontId="10" fillId="33" borderId="13" xfId="0" applyNumberFormat="1" applyFont="1" applyFill="1" applyBorder="1" applyAlignment="1">
      <alignment/>
    </xf>
    <xf numFmtId="2" fontId="10" fillId="33" borderId="13" xfId="0" applyNumberFormat="1" applyFont="1" applyFill="1" applyBorder="1" applyAlignment="1">
      <alignment/>
    </xf>
    <xf numFmtId="175" fontId="10" fillId="33" borderId="13" xfId="0" applyNumberFormat="1" applyFont="1" applyFill="1" applyBorder="1" applyAlignment="1">
      <alignment/>
    </xf>
    <xf numFmtId="1" fontId="10" fillId="33" borderId="13" xfId="0" applyNumberFormat="1" applyFont="1" applyFill="1" applyBorder="1" applyAlignment="1">
      <alignment/>
    </xf>
    <xf numFmtId="2" fontId="2" fillId="33" borderId="13" xfId="0" applyNumberFormat="1" applyFont="1" applyFill="1" applyBorder="1" applyAlignment="1">
      <alignment vertical="top"/>
    </xf>
    <xf numFmtId="175" fontId="2" fillId="33" borderId="13" xfId="0" applyNumberFormat="1" applyFont="1" applyFill="1" applyBorder="1" applyAlignment="1">
      <alignment vertical="top"/>
    </xf>
    <xf numFmtId="1" fontId="2" fillId="33" borderId="13" xfId="0" applyNumberFormat="1" applyFont="1" applyFill="1" applyBorder="1" applyAlignment="1">
      <alignment vertical="top"/>
    </xf>
    <xf numFmtId="1" fontId="2" fillId="33" borderId="11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 wrapText="1"/>
    </xf>
    <xf numFmtId="2" fontId="2" fillId="33" borderId="21" xfId="0" applyNumberFormat="1" applyFont="1" applyFill="1" applyBorder="1" applyAlignment="1">
      <alignment horizontal="center" wrapText="1"/>
    </xf>
    <xf numFmtId="2" fontId="2" fillId="33" borderId="22" xfId="0" applyNumberFormat="1" applyFont="1" applyFill="1" applyBorder="1" applyAlignment="1">
      <alignment horizontal="center" wrapText="1"/>
    </xf>
    <xf numFmtId="2" fontId="2" fillId="33" borderId="23" xfId="0" applyNumberFormat="1" applyFont="1" applyFill="1" applyBorder="1" applyAlignment="1">
      <alignment horizontal="center" wrapText="1"/>
    </xf>
    <xf numFmtId="176" fontId="0" fillId="33" borderId="24" xfId="0" applyNumberForma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textRotation="90" wrapText="1"/>
    </xf>
    <xf numFmtId="176" fontId="0" fillId="33" borderId="29" xfId="0" applyNumberForma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176" fontId="18" fillId="33" borderId="24" xfId="0" applyNumberFormat="1" applyFont="1" applyFill="1" applyBorder="1" applyAlignment="1">
      <alignment horizontal="center"/>
    </xf>
    <xf numFmtId="176" fontId="18" fillId="33" borderId="30" xfId="0" applyNumberFormat="1" applyFont="1" applyFill="1" applyBorder="1" applyAlignment="1">
      <alignment horizontal="center"/>
    </xf>
    <xf numFmtId="176" fontId="18" fillId="33" borderId="25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 vertical="center" textRotation="90" wrapText="1"/>
    </xf>
    <xf numFmtId="0" fontId="2" fillId="33" borderId="22" xfId="0" applyFont="1" applyFill="1" applyBorder="1" applyAlignment="1">
      <alignment horizontal="center" vertical="center" textRotation="90" wrapText="1"/>
    </xf>
    <xf numFmtId="2" fontId="2" fillId="33" borderId="33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left"/>
    </xf>
    <xf numFmtId="2" fontId="4" fillId="33" borderId="37" xfId="0" applyNumberFormat="1" applyFont="1" applyFill="1" applyBorder="1" applyAlignment="1">
      <alignment horizontal="right"/>
    </xf>
    <xf numFmtId="2" fontId="2" fillId="33" borderId="20" xfId="0" applyNumberFormat="1" applyFont="1" applyFill="1" applyBorder="1" applyAlignment="1">
      <alignment horizontal="center" vertical="center" wrapText="1"/>
    </xf>
    <xf numFmtId="2" fontId="2" fillId="33" borderId="38" xfId="0" applyNumberFormat="1" applyFont="1" applyFill="1" applyBorder="1" applyAlignment="1">
      <alignment horizontal="center" vertical="center" wrapText="1"/>
    </xf>
    <xf numFmtId="2" fontId="2" fillId="33" borderId="39" xfId="0" applyNumberFormat="1" applyFont="1" applyFill="1" applyBorder="1" applyAlignment="1">
      <alignment horizontal="center" vertical="center" wrapText="1"/>
    </xf>
    <xf numFmtId="2" fontId="2" fillId="33" borderId="22" xfId="0" applyNumberFormat="1" applyFont="1" applyFill="1" applyBorder="1" applyAlignment="1">
      <alignment horizontal="center" vertical="center" wrapText="1"/>
    </xf>
    <xf numFmtId="2" fontId="2" fillId="33" borderId="37" xfId="0" applyNumberFormat="1" applyFont="1" applyFill="1" applyBorder="1" applyAlignment="1">
      <alignment horizontal="center" vertical="center" wrapText="1"/>
    </xf>
    <xf numFmtId="2" fontId="2" fillId="33" borderId="4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 textRotation="90" wrapText="1"/>
    </xf>
    <xf numFmtId="0" fontId="2" fillId="33" borderId="4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9"/>
  <sheetViews>
    <sheetView tabSelected="1" zoomScale="90" zoomScaleNormal="90" zoomScalePageLayoutView="0" workbookViewId="0" topLeftCell="A1">
      <selection activeCell="F328" sqref="F328"/>
    </sheetView>
  </sheetViews>
  <sheetFormatPr defaultColWidth="9.00390625" defaultRowHeight="12.75"/>
  <cols>
    <col min="1" max="1" width="45.375" style="7" customWidth="1"/>
    <col min="2" max="2" width="5.50390625" style="7" customWidth="1"/>
    <col min="3" max="3" width="5.375" style="7" customWidth="1"/>
    <col min="4" max="4" width="11.625" style="7" customWidth="1"/>
    <col min="5" max="5" width="5.00390625" style="7" customWidth="1"/>
    <col min="6" max="6" width="7.375" style="7" customWidth="1"/>
    <col min="7" max="7" width="15.50390625" style="61" customWidth="1"/>
    <col min="8" max="8" width="13.75390625" style="61" customWidth="1"/>
    <col min="9" max="9" width="13.625" style="61" customWidth="1"/>
    <col min="10" max="10" width="11.50390625" style="61" customWidth="1"/>
    <col min="11" max="11" width="12.25390625" style="61" customWidth="1"/>
    <col min="12" max="12" width="3.50390625" style="61" customWidth="1"/>
    <col min="13" max="13" width="3.625" style="61" customWidth="1"/>
    <col min="14" max="15" width="0" style="7" hidden="1" customWidth="1"/>
    <col min="16" max="16" width="12.625" style="7" hidden="1" customWidth="1"/>
    <col min="17" max="17" width="10.375" style="7" hidden="1" customWidth="1"/>
    <col min="18" max="18" width="10.625" style="7" hidden="1" customWidth="1"/>
    <col min="19" max="19" width="10.50390625" style="7" hidden="1" customWidth="1"/>
  </cols>
  <sheetData>
    <row r="1" spans="1:19" s="1" customFormat="1" ht="15">
      <c r="A1" s="6"/>
      <c r="B1" s="6"/>
      <c r="C1" s="6"/>
      <c r="D1" s="6"/>
      <c r="E1" s="6"/>
      <c r="F1" s="6"/>
      <c r="G1" s="53"/>
      <c r="H1" s="52"/>
      <c r="I1" s="53"/>
      <c r="J1" s="52" t="s">
        <v>11</v>
      </c>
      <c r="K1" s="54"/>
      <c r="L1" s="53"/>
      <c r="M1" s="53"/>
      <c r="N1" s="55"/>
      <c r="O1" s="55"/>
      <c r="P1" s="55"/>
      <c r="Q1" s="55"/>
      <c r="R1" s="55"/>
      <c r="S1" s="55"/>
    </row>
    <row r="2" spans="1:19" s="1" customFormat="1" ht="15">
      <c r="A2" s="6"/>
      <c r="B2" s="6"/>
      <c r="C2" s="6"/>
      <c r="D2" s="6"/>
      <c r="E2" s="6"/>
      <c r="F2" s="6"/>
      <c r="G2" s="53"/>
      <c r="H2" s="52"/>
      <c r="I2" s="139" t="s">
        <v>469</v>
      </c>
      <c r="J2" s="139"/>
      <c r="K2" s="139"/>
      <c r="L2" s="53"/>
      <c r="M2" s="53"/>
      <c r="N2" s="55"/>
      <c r="O2" s="55"/>
      <c r="P2" s="55"/>
      <c r="Q2" s="55"/>
      <c r="R2" s="55"/>
      <c r="S2" s="55"/>
    </row>
    <row r="3" spans="1:19" s="1" customFormat="1" ht="15">
      <c r="A3" s="6"/>
      <c r="B3" s="6"/>
      <c r="C3" s="6"/>
      <c r="D3" s="6"/>
      <c r="E3" s="6"/>
      <c r="F3" s="6"/>
      <c r="G3" s="53"/>
      <c r="H3" s="52"/>
      <c r="I3" s="140" t="s">
        <v>470</v>
      </c>
      <c r="J3" s="140"/>
      <c r="K3" s="140"/>
      <c r="L3" s="53"/>
      <c r="M3" s="53"/>
      <c r="N3" s="55"/>
      <c r="O3" s="55"/>
      <c r="P3" s="55"/>
      <c r="Q3" s="55"/>
      <c r="R3" s="55"/>
      <c r="S3" s="55"/>
    </row>
    <row r="4" spans="1:19" s="1" customFormat="1" ht="15">
      <c r="A4" s="6"/>
      <c r="B4" s="6"/>
      <c r="C4" s="6"/>
      <c r="D4" s="6"/>
      <c r="E4" s="6"/>
      <c r="F4" s="6"/>
      <c r="G4" s="53"/>
      <c r="H4" s="52"/>
      <c r="I4" s="53"/>
      <c r="J4" s="52" t="s">
        <v>443</v>
      </c>
      <c r="K4" s="54"/>
      <c r="L4" s="53"/>
      <c r="M4" s="53"/>
      <c r="N4" s="55"/>
      <c r="O4" s="55"/>
      <c r="P4" s="55"/>
      <c r="Q4" s="55"/>
      <c r="R4" s="55"/>
      <c r="S4" s="55"/>
    </row>
    <row r="5" spans="1:19" s="1" customFormat="1" ht="16.5" customHeight="1">
      <c r="A5" s="6"/>
      <c r="B5" s="6"/>
      <c r="C5" s="6"/>
      <c r="D5" s="6"/>
      <c r="E5" s="6"/>
      <c r="F5" s="6"/>
      <c r="G5" s="54"/>
      <c r="H5" s="54"/>
      <c r="I5" s="54"/>
      <c r="J5" s="56"/>
      <c r="K5" s="54"/>
      <c r="L5" s="53"/>
      <c r="M5" s="53"/>
      <c r="N5" s="55"/>
      <c r="O5" s="55"/>
      <c r="P5" s="55"/>
      <c r="Q5" s="55"/>
      <c r="R5" s="55"/>
      <c r="S5" s="55"/>
    </row>
    <row r="6" spans="1:19" s="2" customFormat="1" ht="19.5" customHeight="1">
      <c r="A6" s="147" t="s">
        <v>10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57"/>
      <c r="O6" s="57"/>
      <c r="P6" s="57"/>
      <c r="Q6" s="57"/>
      <c r="R6" s="57"/>
      <c r="S6" s="57"/>
    </row>
    <row r="7" spans="1:19" s="2" customFormat="1" ht="18.75">
      <c r="A7" s="148" t="s">
        <v>158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57"/>
      <c r="O7" s="57"/>
      <c r="P7" s="57"/>
      <c r="Q7" s="57"/>
      <c r="R7" s="57"/>
      <c r="S7" s="57"/>
    </row>
    <row r="8" spans="1:19" s="3" customFormat="1" ht="12.75">
      <c r="A8" s="149" t="s">
        <v>14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58"/>
      <c r="O8" s="58"/>
      <c r="P8" s="58"/>
      <c r="Q8" s="58"/>
      <c r="R8" s="58"/>
      <c r="S8" s="58"/>
    </row>
    <row r="9" spans="1:19" s="2" customFormat="1" ht="15" customHeight="1">
      <c r="A9" s="151" t="s">
        <v>471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57"/>
      <c r="O9" s="57"/>
      <c r="P9" s="57"/>
      <c r="Q9" s="57"/>
      <c r="R9" s="57"/>
      <c r="S9" s="57"/>
    </row>
    <row r="10" spans="1:13" ht="11.25" customHeight="1">
      <c r="A10" s="150" t="s">
        <v>15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</row>
    <row r="11" spans="1:11" ht="8.25" customHeight="1">
      <c r="A11" s="8"/>
      <c r="B11" s="8"/>
      <c r="C11" s="8"/>
      <c r="D11" s="8"/>
      <c r="E11" s="8"/>
      <c r="F11" s="8"/>
      <c r="G11" s="59"/>
      <c r="H11" s="59"/>
      <c r="I11" s="59"/>
      <c r="J11" s="60"/>
      <c r="K11" s="59"/>
    </row>
    <row r="12" spans="1:13" ht="13.5" thickBot="1">
      <c r="A12" s="8"/>
      <c r="B12" s="8"/>
      <c r="C12" s="8"/>
      <c r="D12" s="8"/>
      <c r="E12" s="8"/>
      <c r="F12" s="8"/>
      <c r="G12" s="59"/>
      <c r="H12" s="59"/>
      <c r="I12" s="59"/>
      <c r="K12" s="130" t="s">
        <v>8</v>
      </c>
      <c r="L12" s="130"/>
      <c r="M12" s="130"/>
    </row>
    <row r="13" spans="1:19" s="3" customFormat="1" ht="13.5" customHeight="1">
      <c r="A13" s="121" t="s">
        <v>5</v>
      </c>
      <c r="B13" s="136" t="s">
        <v>4</v>
      </c>
      <c r="C13" s="137"/>
      <c r="D13" s="137"/>
      <c r="E13" s="137"/>
      <c r="F13" s="138"/>
      <c r="G13" s="133" t="s">
        <v>13</v>
      </c>
      <c r="H13" s="141" t="s">
        <v>12</v>
      </c>
      <c r="I13" s="142"/>
      <c r="J13" s="142"/>
      <c r="K13" s="143"/>
      <c r="L13" s="115" t="s">
        <v>91</v>
      </c>
      <c r="M13" s="116"/>
      <c r="N13" s="58"/>
      <c r="O13" s="58"/>
      <c r="P13" s="58"/>
      <c r="Q13" s="58"/>
      <c r="R13" s="58"/>
      <c r="S13" s="58"/>
    </row>
    <row r="14" spans="1:19" s="3" customFormat="1" ht="9.75" customHeight="1">
      <c r="A14" s="122"/>
      <c r="B14" s="131" t="s">
        <v>161</v>
      </c>
      <c r="C14" s="124" t="s">
        <v>160</v>
      </c>
      <c r="D14" s="124" t="s">
        <v>6</v>
      </c>
      <c r="E14" s="124" t="s">
        <v>7</v>
      </c>
      <c r="F14" s="152" t="s">
        <v>164</v>
      </c>
      <c r="G14" s="134"/>
      <c r="H14" s="144"/>
      <c r="I14" s="145"/>
      <c r="J14" s="145"/>
      <c r="K14" s="146"/>
      <c r="L14" s="117"/>
      <c r="M14" s="118"/>
      <c r="N14" s="58"/>
      <c r="O14" s="58"/>
      <c r="P14" s="58"/>
      <c r="Q14" s="58"/>
      <c r="R14" s="58"/>
      <c r="S14" s="58"/>
    </row>
    <row r="15" spans="1:19" s="3" customFormat="1" ht="57.75" customHeight="1">
      <c r="A15" s="123"/>
      <c r="B15" s="132"/>
      <c r="C15" s="124"/>
      <c r="D15" s="124"/>
      <c r="E15" s="124"/>
      <c r="F15" s="153"/>
      <c r="G15" s="135"/>
      <c r="H15" s="62" t="s">
        <v>0</v>
      </c>
      <c r="I15" s="62" t="s">
        <v>1</v>
      </c>
      <c r="J15" s="62" t="s">
        <v>2</v>
      </c>
      <c r="K15" s="62" t="s">
        <v>3</v>
      </c>
      <c r="L15" s="63" t="s">
        <v>92</v>
      </c>
      <c r="M15" s="64" t="s">
        <v>93</v>
      </c>
      <c r="N15" s="58"/>
      <c r="O15" s="58"/>
      <c r="P15" s="58"/>
      <c r="Q15" s="58"/>
      <c r="R15" s="58"/>
      <c r="S15" s="58"/>
    </row>
    <row r="16" spans="1:19" s="3" customFormat="1" ht="13.5" thickBot="1">
      <c r="A16" s="9">
        <v>1</v>
      </c>
      <c r="B16" s="10">
        <v>3</v>
      </c>
      <c r="C16" s="10">
        <v>4</v>
      </c>
      <c r="D16" s="10">
        <v>5</v>
      </c>
      <c r="E16" s="10">
        <v>6</v>
      </c>
      <c r="F16" s="10">
        <v>7</v>
      </c>
      <c r="G16" s="114">
        <v>8</v>
      </c>
      <c r="H16" s="114">
        <v>9</v>
      </c>
      <c r="I16" s="114">
        <v>10</v>
      </c>
      <c r="J16" s="114">
        <v>11</v>
      </c>
      <c r="K16" s="114">
        <v>12</v>
      </c>
      <c r="L16" s="65">
        <v>13</v>
      </c>
      <c r="M16" s="66">
        <v>14</v>
      </c>
      <c r="N16" s="58"/>
      <c r="O16" s="58"/>
      <c r="P16" s="58"/>
      <c r="Q16" s="58"/>
      <c r="R16" s="58"/>
      <c r="S16" s="58"/>
    </row>
    <row r="17" spans="1:13" ht="6.75" customHeight="1">
      <c r="A17" s="11"/>
      <c r="B17" s="11"/>
      <c r="C17" s="11"/>
      <c r="D17" s="11"/>
      <c r="E17" s="11"/>
      <c r="F17" s="11"/>
      <c r="G17" s="67"/>
      <c r="H17" s="67"/>
      <c r="I17" s="67"/>
      <c r="J17" s="67"/>
      <c r="K17" s="67"/>
      <c r="L17" s="68"/>
      <c r="M17" s="68"/>
    </row>
    <row r="18" spans="1:13" ht="15" customHeight="1">
      <c r="A18" s="12" t="s">
        <v>16</v>
      </c>
      <c r="B18" s="12"/>
      <c r="C18" s="12"/>
      <c r="D18" s="12"/>
      <c r="E18" s="12"/>
      <c r="F18" s="12"/>
      <c r="G18" s="69">
        <f>G19+G35+G36+G34+G23</f>
        <v>15116.891630000002</v>
      </c>
      <c r="H18" s="69">
        <f>H19+H35+H36+H34+H23</f>
        <v>2863.3240399999995</v>
      </c>
      <c r="I18" s="69">
        <f>I19+I35+I36+I34+I23</f>
        <v>4751.979469999999</v>
      </c>
      <c r="J18" s="69">
        <f>J19+J35+J36+J34+J23</f>
        <v>3306.6825400000002</v>
      </c>
      <c r="K18" s="69">
        <f>K19+K35+K36+K34+K23</f>
        <v>4194.90558</v>
      </c>
      <c r="L18" s="70"/>
      <c r="M18" s="70"/>
    </row>
    <row r="19" spans="1:13" ht="12" customHeight="1">
      <c r="A19" s="13" t="s">
        <v>17</v>
      </c>
      <c r="B19" s="14"/>
      <c r="C19" s="14"/>
      <c r="D19" s="14"/>
      <c r="E19" s="14"/>
      <c r="F19" s="14">
        <v>210</v>
      </c>
      <c r="G19" s="71">
        <f>G20+G21+G22</f>
        <v>10978.147850000001</v>
      </c>
      <c r="H19" s="71">
        <f>H20+H21+H22</f>
        <v>1990.1931399999999</v>
      </c>
      <c r="I19" s="71">
        <f>I20+I21+I22</f>
        <v>3398.8342099999995</v>
      </c>
      <c r="J19" s="71">
        <f>J20+J21+J22</f>
        <v>2583.39804</v>
      </c>
      <c r="K19" s="71">
        <f>K20+K21+K22</f>
        <v>3005.72246</v>
      </c>
      <c r="L19" s="72"/>
      <c r="M19" s="72"/>
    </row>
    <row r="20" spans="1:13" ht="12.75" customHeight="1">
      <c r="A20" s="14" t="s">
        <v>18</v>
      </c>
      <c r="B20" s="14"/>
      <c r="C20" s="14"/>
      <c r="D20" s="14"/>
      <c r="E20" s="14"/>
      <c r="F20" s="14">
        <v>211</v>
      </c>
      <c r="G20" s="71">
        <f>H20+I20+J20+K20</f>
        <v>8457.18143</v>
      </c>
      <c r="H20" s="71">
        <f>H44+H49+H61+H100+H53+H131</f>
        <v>1592.15266</v>
      </c>
      <c r="I20" s="71">
        <f>I44+I49+I61+I100+I53+I131</f>
        <v>2568.9360399999996</v>
      </c>
      <c r="J20" s="71">
        <f>J44+J49+J61+J100+J53+J131</f>
        <v>1957.51939</v>
      </c>
      <c r="K20" s="71">
        <f>K44+K49+K61+K100+K53+K131</f>
        <v>2338.57334</v>
      </c>
      <c r="L20" s="72"/>
      <c r="M20" s="72"/>
    </row>
    <row r="21" spans="1:13" ht="12.75" customHeight="1" hidden="1">
      <c r="A21" s="14" t="s">
        <v>19</v>
      </c>
      <c r="B21" s="14"/>
      <c r="C21" s="14"/>
      <c r="D21" s="14"/>
      <c r="E21" s="14"/>
      <c r="F21" s="14">
        <v>212</v>
      </c>
      <c r="G21" s="71">
        <f>H21+I21+J21+K21</f>
        <v>0</v>
      </c>
      <c r="H21" s="71">
        <f>H50+H62</f>
        <v>0</v>
      </c>
      <c r="I21" s="71">
        <f>I50+I62</f>
        <v>0</v>
      </c>
      <c r="J21" s="71">
        <f>J50+J62</f>
        <v>0</v>
      </c>
      <c r="K21" s="71">
        <f>K50+K62</f>
        <v>0</v>
      </c>
      <c r="L21" s="72"/>
      <c r="M21" s="72"/>
    </row>
    <row r="22" spans="1:13" ht="15" customHeight="1">
      <c r="A22" s="14" t="s">
        <v>20</v>
      </c>
      <c r="B22" s="14"/>
      <c r="C22" s="14"/>
      <c r="D22" s="14"/>
      <c r="E22" s="14"/>
      <c r="F22" s="14">
        <v>213</v>
      </c>
      <c r="G22" s="71">
        <f>H22+I22+J22+K22</f>
        <v>2520.96642</v>
      </c>
      <c r="H22" s="71">
        <f>H46+H51+H63+H102+H54+H132</f>
        <v>398.04048</v>
      </c>
      <c r="I22" s="71">
        <f>I46+I51+I63+I102+I54+I132</f>
        <v>829.89817</v>
      </c>
      <c r="J22" s="71">
        <f>J46+J51+J63+J102+J54+J132</f>
        <v>625.87865</v>
      </c>
      <c r="K22" s="71">
        <f>K46+K51+K63+K102+K54+K132</f>
        <v>667.14912</v>
      </c>
      <c r="L22" s="72"/>
      <c r="M22" s="72"/>
    </row>
    <row r="23" spans="1:13" ht="14.25" customHeight="1">
      <c r="A23" s="14" t="s">
        <v>117</v>
      </c>
      <c r="B23" s="14"/>
      <c r="C23" s="14"/>
      <c r="D23" s="14"/>
      <c r="E23" s="14"/>
      <c r="F23" s="14">
        <v>220</v>
      </c>
      <c r="G23" s="71">
        <f>H23+I23+J23+K23</f>
        <v>2627.7731099999996</v>
      </c>
      <c r="H23" s="71">
        <f>H33+H32+H26+H24+H25</f>
        <v>541.9331399999999</v>
      </c>
      <c r="I23" s="71">
        <f>I33+I32+I26+I24+I25</f>
        <v>668.3137599999999</v>
      </c>
      <c r="J23" s="71">
        <f>J33+J32+J26+J24+J25</f>
        <v>642.7125</v>
      </c>
      <c r="K23" s="71">
        <f>K33+K32+K26+K24+K25</f>
        <v>774.8137099999999</v>
      </c>
      <c r="L23" s="72"/>
      <c r="M23" s="72"/>
    </row>
    <row r="24" spans="1:13" ht="14.25" customHeight="1">
      <c r="A24" s="14" t="s">
        <v>22</v>
      </c>
      <c r="B24" s="14"/>
      <c r="C24" s="14"/>
      <c r="D24" s="14"/>
      <c r="E24" s="14"/>
      <c r="F24" s="14">
        <v>221</v>
      </c>
      <c r="G24" s="71">
        <f aca="true" t="shared" si="0" ref="G24:G31">H24+I24+J24+K24</f>
        <v>280.66369</v>
      </c>
      <c r="H24" s="71">
        <f aca="true" t="shared" si="1" ref="H24:K25">H104</f>
        <v>43.8711</v>
      </c>
      <c r="I24" s="71">
        <f t="shared" si="1"/>
        <v>66.76212</v>
      </c>
      <c r="J24" s="71">
        <f t="shared" si="1"/>
        <v>82.78634000000001</v>
      </c>
      <c r="K24" s="71">
        <f t="shared" si="1"/>
        <v>87.24413</v>
      </c>
      <c r="L24" s="72"/>
      <c r="M24" s="72"/>
    </row>
    <row r="25" spans="1:13" ht="14.25" customHeight="1" hidden="1">
      <c r="A25" s="14" t="s">
        <v>23</v>
      </c>
      <c r="B25" s="14"/>
      <c r="C25" s="14"/>
      <c r="D25" s="14"/>
      <c r="E25" s="14"/>
      <c r="F25" s="14">
        <v>222</v>
      </c>
      <c r="G25" s="71">
        <f t="shared" si="0"/>
        <v>0</v>
      </c>
      <c r="H25" s="71">
        <f t="shared" si="1"/>
        <v>0</v>
      </c>
      <c r="I25" s="71">
        <f t="shared" si="1"/>
        <v>0</v>
      </c>
      <c r="J25" s="71">
        <f t="shared" si="1"/>
        <v>0</v>
      </c>
      <c r="K25" s="71">
        <f t="shared" si="1"/>
        <v>0</v>
      </c>
      <c r="L25" s="72"/>
      <c r="M25" s="72"/>
    </row>
    <row r="26" spans="1:13" ht="14.25" customHeight="1">
      <c r="A26" s="14" t="s">
        <v>268</v>
      </c>
      <c r="B26" s="14"/>
      <c r="C26" s="14"/>
      <c r="D26" s="14"/>
      <c r="E26" s="14"/>
      <c r="F26" s="14">
        <v>223</v>
      </c>
      <c r="G26" s="94">
        <f t="shared" si="0"/>
        <v>517.0604999999999</v>
      </c>
      <c r="H26" s="71">
        <f>H28+H29+H30+H31</f>
        <v>164.39942</v>
      </c>
      <c r="I26" s="71">
        <f>I28+I29+I30+I31</f>
        <v>118.38163</v>
      </c>
      <c r="J26" s="71">
        <f>J28+J29+J30+J31</f>
        <v>75.94040999999999</v>
      </c>
      <c r="K26" s="71">
        <f>K28+K29+K30+K31</f>
        <v>158.33903999999998</v>
      </c>
      <c r="L26" s="72"/>
      <c r="M26" s="72"/>
    </row>
    <row r="27" spans="1:13" ht="11.25" customHeight="1">
      <c r="A27" s="14" t="s">
        <v>25</v>
      </c>
      <c r="B27" s="14"/>
      <c r="C27" s="14"/>
      <c r="D27" s="14"/>
      <c r="E27" s="14"/>
      <c r="F27" s="14"/>
      <c r="G27" s="71"/>
      <c r="H27" s="71"/>
      <c r="I27" s="71"/>
      <c r="J27" s="71"/>
      <c r="K27" s="71"/>
      <c r="L27" s="72"/>
      <c r="M27" s="72"/>
    </row>
    <row r="28" spans="1:13" ht="14.25" customHeight="1">
      <c r="A28" s="14" t="s">
        <v>269</v>
      </c>
      <c r="B28" s="14"/>
      <c r="C28" s="14"/>
      <c r="D28" s="14"/>
      <c r="E28" s="14"/>
      <c r="F28" s="14" t="s">
        <v>272</v>
      </c>
      <c r="G28" s="71">
        <f t="shared" si="0"/>
        <v>369.66462</v>
      </c>
      <c r="H28" s="71">
        <f aca="true" t="shared" si="2" ref="H28:K30">H108</f>
        <v>130.33883</v>
      </c>
      <c r="I28" s="71">
        <f t="shared" si="2"/>
        <v>86.89329000000001</v>
      </c>
      <c r="J28" s="71">
        <f t="shared" si="2"/>
        <v>40.58298</v>
      </c>
      <c r="K28" s="71">
        <f t="shared" si="2"/>
        <v>111.84952000000001</v>
      </c>
      <c r="L28" s="72"/>
      <c r="M28" s="72"/>
    </row>
    <row r="29" spans="1:13" ht="14.25" customHeight="1">
      <c r="A29" s="14" t="s">
        <v>270</v>
      </c>
      <c r="B29" s="14"/>
      <c r="C29" s="14"/>
      <c r="D29" s="14"/>
      <c r="E29" s="14"/>
      <c r="F29" s="14" t="s">
        <v>273</v>
      </c>
      <c r="G29" s="71">
        <f t="shared" si="0"/>
        <v>141.34453999999997</v>
      </c>
      <c r="H29" s="71">
        <f t="shared" si="2"/>
        <v>33.305809999999994</v>
      </c>
      <c r="I29" s="71">
        <f t="shared" si="2"/>
        <v>30.35616999999999</v>
      </c>
      <c r="J29" s="71">
        <f t="shared" si="2"/>
        <v>32.740579999999994</v>
      </c>
      <c r="K29" s="71">
        <f t="shared" si="2"/>
        <v>44.94197999999999</v>
      </c>
      <c r="L29" s="72"/>
      <c r="M29" s="72"/>
    </row>
    <row r="30" spans="1:13" ht="14.25" customHeight="1">
      <c r="A30" s="14" t="s">
        <v>271</v>
      </c>
      <c r="B30" s="14"/>
      <c r="C30" s="14"/>
      <c r="D30" s="14"/>
      <c r="E30" s="14"/>
      <c r="F30" s="14" t="s">
        <v>274</v>
      </c>
      <c r="G30" s="94">
        <f t="shared" si="0"/>
        <v>4.588299999999999</v>
      </c>
      <c r="H30" s="71">
        <f t="shared" si="2"/>
        <v>0.75478</v>
      </c>
      <c r="I30" s="71">
        <f t="shared" si="2"/>
        <v>1.13217</v>
      </c>
      <c r="J30" s="71">
        <f t="shared" si="2"/>
        <v>1.15381</v>
      </c>
      <c r="K30" s="71">
        <f t="shared" si="2"/>
        <v>1.54754</v>
      </c>
      <c r="L30" s="72"/>
      <c r="M30" s="72"/>
    </row>
    <row r="31" spans="1:13" ht="14.25" customHeight="1">
      <c r="A31" s="14" t="s">
        <v>275</v>
      </c>
      <c r="B31" s="14"/>
      <c r="C31" s="14"/>
      <c r="D31" s="14"/>
      <c r="E31" s="14"/>
      <c r="F31" s="14" t="s">
        <v>276</v>
      </c>
      <c r="G31" s="71">
        <f t="shared" si="0"/>
        <v>1.46304</v>
      </c>
      <c r="H31" s="83">
        <f>H137</f>
        <v>0</v>
      </c>
      <c r="I31" s="83">
        <f>I137</f>
        <v>0</v>
      </c>
      <c r="J31" s="71">
        <f>J137</f>
        <v>1.46304</v>
      </c>
      <c r="K31" s="83">
        <f>K137</f>
        <v>0</v>
      </c>
      <c r="L31" s="72"/>
      <c r="M31" s="72"/>
    </row>
    <row r="32" spans="1:13" ht="13.5" customHeight="1">
      <c r="A32" s="14" t="s">
        <v>159</v>
      </c>
      <c r="B32" s="14"/>
      <c r="C32" s="14"/>
      <c r="D32" s="14"/>
      <c r="E32" s="14"/>
      <c r="F32" s="14">
        <v>225</v>
      </c>
      <c r="G32" s="71">
        <f>H32+I32+J32+K32</f>
        <v>295.51103</v>
      </c>
      <c r="H32" s="71">
        <f>H113+H138+H56</f>
        <v>46.12361999999999</v>
      </c>
      <c r="I32" s="71">
        <f>I113+I138+I56</f>
        <v>65.42943</v>
      </c>
      <c r="J32" s="71">
        <f>J113+J138+J56</f>
        <v>115.58043</v>
      </c>
      <c r="K32" s="71">
        <f>K113+K138+K56</f>
        <v>68.37755</v>
      </c>
      <c r="L32" s="72"/>
      <c r="M32" s="72"/>
    </row>
    <row r="33" spans="1:13" ht="13.5" customHeight="1">
      <c r="A33" s="14" t="s">
        <v>32</v>
      </c>
      <c r="B33" s="14"/>
      <c r="C33" s="14"/>
      <c r="D33" s="14"/>
      <c r="E33" s="14"/>
      <c r="F33" s="14">
        <v>226</v>
      </c>
      <c r="G33" s="71">
        <f>H33+I33+J33+K33</f>
        <v>1534.5378899999996</v>
      </c>
      <c r="H33" s="97">
        <f>H65+H95+H92+H97+H117+H145+H139+H143+H57</f>
        <v>287.539</v>
      </c>
      <c r="I33" s="71">
        <f>I65+I95+I92+I97+I117+I145+I139+I143+I57</f>
        <v>417.74057999999997</v>
      </c>
      <c r="J33" s="71">
        <f>J65+J95+J92+J97+J117+J145+J139+J143+J57</f>
        <v>368.40531999999996</v>
      </c>
      <c r="K33" s="71">
        <f>K65+K95+K92+K97+K117+K145+K139+K143+K57</f>
        <v>460.8529899999999</v>
      </c>
      <c r="L33" s="72"/>
      <c r="M33" s="72"/>
    </row>
    <row r="34" spans="1:13" ht="12.75" customHeight="1" hidden="1">
      <c r="A34" s="14" t="s">
        <v>113</v>
      </c>
      <c r="B34" s="14"/>
      <c r="C34" s="14"/>
      <c r="D34" s="14"/>
      <c r="E34" s="14"/>
      <c r="F34" s="14">
        <v>262</v>
      </c>
      <c r="G34" s="71">
        <f>H34+I34+J34+K34</f>
        <v>0</v>
      </c>
      <c r="H34" s="71">
        <f>H66</f>
        <v>0</v>
      </c>
      <c r="I34" s="71">
        <f>I66</f>
        <v>0</v>
      </c>
      <c r="J34" s="71">
        <f>J66</f>
        <v>0</v>
      </c>
      <c r="K34" s="71"/>
      <c r="L34" s="72"/>
      <c r="M34" s="72"/>
    </row>
    <row r="35" spans="1:13" ht="12" customHeight="1">
      <c r="A35" s="14" t="s">
        <v>33</v>
      </c>
      <c r="B35" s="14"/>
      <c r="C35" s="14"/>
      <c r="D35" s="14"/>
      <c r="E35" s="14"/>
      <c r="F35" s="14">
        <v>290</v>
      </c>
      <c r="G35" s="97">
        <f>H35+I35+J35+K35</f>
        <v>1013.232</v>
      </c>
      <c r="H35" s="97">
        <f>H89+H67+H118+H128+H141+H55</f>
        <v>265.455</v>
      </c>
      <c r="I35" s="97">
        <f>I89+I67+I118+I128+I141+I55</f>
        <v>498.35600000000005</v>
      </c>
      <c r="J35" s="83">
        <f>J89+J67+J118+J128+J141+J55</f>
        <v>0</v>
      </c>
      <c r="K35" s="97">
        <f>K89+K67+K118+K128+K141+K55</f>
        <v>249.42099999999996</v>
      </c>
      <c r="L35" s="72"/>
      <c r="M35" s="72"/>
    </row>
    <row r="36" spans="1:13" ht="13.5" customHeight="1">
      <c r="A36" s="13" t="s">
        <v>35</v>
      </c>
      <c r="B36" s="14"/>
      <c r="C36" s="14"/>
      <c r="D36" s="14"/>
      <c r="E36" s="14"/>
      <c r="F36" s="14">
        <v>300</v>
      </c>
      <c r="G36" s="71">
        <f>G37+G38</f>
        <v>497.73867000000007</v>
      </c>
      <c r="H36" s="71">
        <f>H37+H38</f>
        <v>65.74276</v>
      </c>
      <c r="I36" s="71">
        <f>I37+I38</f>
        <v>186.4755</v>
      </c>
      <c r="J36" s="97">
        <f>J37+J38</f>
        <v>80.572</v>
      </c>
      <c r="K36" s="71">
        <f>K37+K38</f>
        <v>164.94841000000002</v>
      </c>
      <c r="L36" s="72"/>
      <c r="M36" s="72"/>
    </row>
    <row r="37" spans="1:13" ht="12.75" customHeight="1">
      <c r="A37" s="13" t="s">
        <v>36</v>
      </c>
      <c r="B37" s="14"/>
      <c r="C37" s="14"/>
      <c r="D37" s="14"/>
      <c r="E37" s="14"/>
      <c r="F37" s="14">
        <v>310</v>
      </c>
      <c r="G37" s="97">
        <f>H37+I37+J37+K37</f>
        <v>94.316</v>
      </c>
      <c r="H37" s="83">
        <f>H69+H123</f>
        <v>0</v>
      </c>
      <c r="I37" s="98">
        <f>I69+I123</f>
        <v>79.95</v>
      </c>
      <c r="J37" s="97">
        <f>J69+J123</f>
        <v>5.866</v>
      </c>
      <c r="K37" s="84">
        <f>K69+K123</f>
        <v>8.5</v>
      </c>
      <c r="L37" s="72"/>
      <c r="M37" s="72"/>
    </row>
    <row r="38" spans="1:13" ht="12" customHeight="1">
      <c r="A38" s="13" t="s">
        <v>37</v>
      </c>
      <c r="B38" s="14"/>
      <c r="C38" s="14"/>
      <c r="D38" s="14"/>
      <c r="E38" s="14"/>
      <c r="F38" s="14">
        <v>340</v>
      </c>
      <c r="G38" s="71">
        <f>H38+I38+J38+K38</f>
        <v>403.42267000000004</v>
      </c>
      <c r="H38" s="71">
        <f>H41+H40</f>
        <v>65.74276</v>
      </c>
      <c r="I38" s="71">
        <f>I41+I40</f>
        <v>106.5255</v>
      </c>
      <c r="J38" s="97">
        <f>J41+J40</f>
        <v>74.706</v>
      </c>
      <c r="K38" s="71">
        <f>K41+K40</f>
        <v>156.44841000000002</v>
      </c>
      <c r="L38" s="72"/>
      <c r="M38" s="72"/>
    </row>
    <row r="39" spans="1:19" ht="10.5" customHeight="1">
      <c r="A39" s="13" t="s">
        <v>25</v>
      </c>
      <c r="B39" s="14"/>
      <c r="C39" s="14"/>
      <c r="D39" s="14"/>
      <c r="E39" s="14"/>
      <c r="F39" s="14"/>
      <c r="G39" s="71"/>
      <c r="H39" s="71"/>
      <c r="I39" s="71"/>
      <c r="J39" s="71"/>
      <c r="K39" s="71"/>
      <c r="L39" s="72"/>
      <c r="M39" s="72"/>
      <c r="Q39" s="73"/>
      <c r="R39" s="73"/>
      <c r="S39" s="73"/>
    </row>
    <row r="40" spans="1:13" ht="10.5" customHeight="1">
      <c r="A40" s="13" t="s">
        <v>38</v>
      </c>
      <c r="B40" s="14"/>
      <c r="C40" s="14"/>
      <c r="D40" s="14"/>
      <c r="E40" s="14"/>
      <c r="F40" s="15" t="s">
        <v>299</v>
      </c>
      <c r="G40" s="98">
        <f>H40+I40+J40+K40</f>
        <v>234.12</v>
      </c>
      <c r="H40" s="71">
        <f>H125</f>
        <v>33.90136</v>
      </c>
      <c r="I40" s="94">
        <f>I125</f>
        <v>50.7425</v>
      </c>
      <c r="J40" s="97">
        <f>J125</f>
        <v>60.306</v>
      </c>
      <c r="K40" s="71">
        <f>K125</f>
        <v>89.17014</v>
      </c>
      <c r="L40" s="72"/>
      <c r="M40" s="72"/>
    </row>
    <row r="41" spans="1:19" ht="12.75" customHeight="1">
      <c r="A41" s="13" t="s">
        <v>39</v>
      </c>
      <c r="B41" s="14"/>
      <c r="C41" s="14"/>
      <c r="D41" s="14"/>
      <c r="E41" s="14"/>
      <c r="F41" s="15" t="s">
        <v>60</v>
      </c>
      <c r="G41" s="71">
        <f>H41+I41+J41+K41</f>
        <v>169.30267000000003</v>
      </c>
      <c r="H41" s="94">
        <f>H73+H58+H127</f>
        <v>31.841400000000007</v>
      </c>
      <c r="I41" s="97">
        <f>I73+I58+I127</f>
        <v>55.783</v>
      </c>
      <c r="J41" s="84">
        <f>J73+J58+J127</f>
        <v>14.4</v>
      </c>
      <c r="K41" s="71">
        <f>K73+K58+K127</f>
        <v>67.27827</v>
      </c>
      <c r="L41" s="72"/>
      <c r="M41" s="72"/>
      <c r="P41" s="74"/>
      <c r="Q41" s="74"/>
      <c r="R41" s="74"/>
      <c r="S41" s="74"/>
    </row>
    <row r="42" spans="1:13" ht="13.5" customHeight="1" hidden="1">
      <c r="A42" s="16" t="s">
        <v>40</v>
      </c>
      <c r="B42" s="17" t="s">
        <v>94</v>
      </c>
      <c r="C42" s="17" t="s">
        <v>41</v>
      </c>
      <c r="D42" s="17" t="s">
        <v>162</v>
      </c>
      <c r="E42" s="17" t="s">
        <v>150</v>
      </c>
      <c r="F42" s="12"/>
      <c r="G42" s="75">
        <f>G43</f>
        <v>0</v>
      </c>
      <c r="H42" s="75">
        <f>H43</f>
        <v>0</v>
      </c>
      <c r="I42" s="75">
        <f>I43</f>
        <v>0</v>
      </c>
      <c r="J42" s="75">
        <f>J43</f>
        <v>0</v>
      </c>
      <c r="K42" s="75">
        <f>K43</f>
        <v>0</v>
      </c>
      <c r="L42" s="70"/>
      <c r="M42" s="70"/>
    </row>
    <row r="43" spans="1:13" ht="12.75" customHeight="1" hidden="1">
      <c r="A43" s="13" t="s">
        <v>17</v>
      </c>
      <c r="B43" s="18" t="s">
        <v>94</v>
      </c>
      <c r="C43" s="18" t="s">
        <v>41</v>
      </c>
      <c r="D43" s="18" t="s">
        <v>162</v>
      </c>
      <c r="E43" s="18" t="s">
        <v>108</v>
      </c>
      <c r="F43" s="18" t="s">
        <v>43</v>
      </c>
      <c r="G43" s="71">
        <f>G44+G46</f>
        <v>0</v>
      </c>
      <c r="H43" s="71">
        <f>H44+H46</f>
        <v>0</v>
      </c>
      <c r="I43" s="71">
        <f>I44+I46</f>
        <v>0</v>
      </c>
      <c r="J43" s="71">
        <f>J44+J46</f>
        <v>0</v>
      </c>
      <c r="K43" s="71">
        <f>K44+K46</f>
        <v>0</v>
      </c>
      <c r="L43" s="72"/>
      <c r="M43" s="72"/>
    </row>
    <row r="44" spans="1:13" ht="12.75" customHeight="1" hidden="1">
      <c r="A44" s="14" t="s">
        <v>18</v>
      </c>
      <c r="B44" s="18" t="s">
        <v>94</v>
      </c>
      <c r="C44" s="18" t="s">
        <v>41</v>
      </c>
      <c r="D44" s="18" t="s">
        <v>162</v>
      </c>
      <c r="E44" s="18" t="s">
        <v>109</v>
      </c>
      <c r="F44" s="18" t="s">
        <v>44</v>
      </c>
      <c r="G44" s="71">
        <f>H44+I44+J44+K44</f>
        <v>0</v>
      </c>
      <c r="H44" s="71"/>
      <c r="I44" s="71"/>
      <c r="J44" s="71"/>
      <c r="K44" s="71"/>
      <c r="L44" s="72"/>
      <c r="M44" s="72"/>
    </row>
    <row r="45" spans="1:13" ht="14.25" customHeight="1" hidden="1">
      <c r="A45" s="14" t="s">
        <v>19</v>
      </c>
      <c r="B45" s="18" t="s">
        <v>94</v>
      </c>
      <c r="C45" s="18" t="s">
        <v>41</v>
      </c>
      <c r="D45" s="18" t="s">
        <v>162</v>
      </c>
      <c r="E45" s="18" t="s">
        <v>114</v>
      </c>
      <c r="F45" s="18" t="s">
        <v>45</v>
      </c>
      <c r="G45" s="71"/>
      <c r="H45" s="71"/>
      <c r="I45" s="71"/>
      <c r="J45" s="71"/>
      <c r="K45" s="71"/>
      <c r="L45" s="72"/>
      <c r="M45" s="72"/>
    </row>
    <row r="46" spans="1:13" ht="12" customHeight="1" hidden="1">
      <c r="A46" s="14" t="s">
        <v>20</v>
      </c>
      <c r="B46" s="18" t="s">
        <v>94</v>
      </c>
      <c r="C46" s="18" t="s">
        <v>41</v>
      </c>
      <c r="D46" s="18" t="s">
        <v>162</v>
      </c>
      <c r="E46" s="18" t="s">
        <v>303</v>
      </c>
      <c r="F46" s="18" t="s">
        <v>46</v>
      </c>
      <c r="G46" s="71">
        <f aca="true" t="shared" si="3" ref="G46:G58">H46+I46+J46+K46</f>
        <v>0</v>
      </c>
      <c r="H46" s="71"/>
      <c r="I46" s="71"/>
      <c r="J46" s="71"/>
      <c r="K46" s="71"/>
      <c r="L46" s="72"/>
      <c r="M46" s="72"/>
    </row>
    <row r="47" spans="1:13" ht="12.75" customHeight="1">
      <c r="A47" s="16" t="s">
        <v>47</v>
      </c>
      <c r="B47" s="17" t="s">
        <v>94</v>
      </c>
      <c r="C47" s="17" t="s">
        <v>48</v>
      </c>
      <c r="D47" s="17" t="s">
        <v>162</v>
      </c>
      <c r="E47" s="17" t="s">
        <v>68</v>
      </c>
      <c r="F47" s="17"/>
      <c r="G47" s="75">
        <f t="shared" si="3"/>
        <v>2095.4951</v>
      </c>
      <c r="H47" s="75">
        <f>H48+H58+H56+H55+H52+H57</f>
        <v>421.92182999999994</v>
      </c>
      <c r="I47" s="75">
        <f>I48+I58+I56+I55+I52+I57</f>
        <v>512.7249800000001</v>
      </c>
      <c r="J47" s="75">
        <f>J48+J58+J56+J55+J52+J57</f>
        <v>483.99554</v>
      </c>
      <c r="K47" s="75">
        <f>K48+K58+K56+K55+K52+K57</f>
        <v>676.85275</v>
      </c>
      <c r="L47" s="70"/>
      <c r="M47" s="70"/>
    </row>
    <row r="48" spans="1:17" ht="12.75" customHeight="1">
      <c r="A48" s="13" t="s">
        <v>17</v>
      </c>
      <c r="B48" s="18" t="s">
        <v>94</v>
      </c>
      <c r="C48" s="18" t="s">
        <v>48</v>
      </c>
      <c r="D48" s="18" t="s">
        <v>162</v>
      </c>
      <c r="E48" s="18" t="s">
        <v>108</v>
      </c>
      <c r="F48" s="18" t="s">
        <v>43</v>
      </c>
      <c r="G48" s="71">
        <f t="shared" si="3"/>
        <v>1267.44136</v>
      </c>
      <c r="H48" s="71">
        <f>H49+H51</f>
        <v>199.37859</v>
      </c>
      <c r="I48" s="71">
        <f>I49+I50+I51</f>
        <v>425.7742400000001</v>
      </c>
      <c r="J48" s="71">
        <f>J49+J50+J51</f>
        <v>239.23754000000002</v>
      </c>
      <c r="K48" s="71">
        <f>K49+K50+K51</f>
        <v>403.05098999999996</v>
      </c>
      <c r="L48" s="72"/>
      <c r="M48" s="72"/>
      <c r="Q48" s="61"/>
    </row>
    <row r="49" spans="1:14" ht="13.5" customHeight="1">
      <c r="A49" s="14" t="s">
        <v>18</v>
      </c>
      <c r="B49" s="18" t="s">
        <v>94</v>
      </c>
      <c r="C49" s="18" t="s">
        <v>48</v>
      </c>
      <c r="D49" s="18" t="s">
        <v>162</v>
      </c>
      <c r="E49" s="18" t="s">
        <v>109</v>
      </c>
      <c r="F49" s="18" t="s">
        <v>44</v>
      </c>
      <c r="G49" s="71">
        <f t="shared" si="3"/>
        <v>972.63893</v>
      </c>
      <c r="H49" s="71">
        <f>175.59-18.28234</f>
        <v>157.30766</v>
      </c>
      <c r="I49" s="71">
        <f>219.49+18.28234+85.8841</f>
        <v>323.65644000000003</v>
      </c>
      <c r="J49" s="71">
        <v>183.74619</v>
      </c>
      <c r="K49" s="71">
        <f>213.24971+94.67893</f>
        <v>307.92864</v>
      </c>
      <c r="L49" s="72"/>
      <c r="M49" s="72"/>
      <c r="N49" s="61"/>
    </row>
    <row r="50" spans="1:13" ht="12.75" customHeight="1" hidden="1">
      <c r="A50" s="14" t="s">
        <v>19</v>
      </c>
      <c r="B50" s="18" t="s">
        <v>94</v>
      </c>
      <c r="C50" s="18" t="s">
        <v>48</v>
      </c>
      <c r="D50" s="18" t="s">
        <v>162</v>
      </c>
      <c r="E50" s="18" t="s">
        <v>114</v>
      </c>
      <c r="F50" s="18" t="s">
        <v>45</v>
      </c>
      <c r="G50" s="71">
        <f t="shared" si="3"/>
        <v>0</v>
      </c>
      <c r="H50" s="71"/>
      <c r="I50" s="71"/>
      <c r="J50" s="71"/>
      <c r="K50" s="71"/>
      <c r="L50" s="72"/>
      <c r="M50" s="72"/>
    </row>
    <row r="51" spans="1:13" ht="13.5" customHeight="1">
      <c r="A51" s="14" t="s">
        <v>20</v>
      </c>
      <c r="B51" s="18" t="s">
        <v>94</v>
      </c>
      <c r="C51" s="18" t="s">
        <v>48</v>
      </c>
      <c r="D51" s="18" t="s">
        <v>162</v>
      </c>
      <c r="E51" s="18" t="s">
        <v>303</v>
      </c>
      <c r="F51" s="18" t="s">
        <v>46</v>
      </c>
      <c r="G51" s="71">
        <f t="shared" si="3"/>
        <v>294.80243</v>
      </c>
      <c r="H51" s="71">
        <f>53.02-10.94907</f>
        <v>42.070930000000004</v>
      </c>
      <c r="I51" s="71">
        <f>66.29+10.94907+24.87873</f>
        <v>102.11780000000002</v>
      </c>
      <c r="J51" s="71">
        <v>55.49135</v>
      </c>
      <c r="K51" s="71">
        <f>65.45992+29.66243</f>
        <v>95.12235</v>
      </c>
      <c r="L51" s="72"/>
      <c r="M51" s="72"/>
    </row>
    <row r="52" spans="1:13" ht="13.5" customHeight="1">
      <c r="A52" s="13" t="s">
        <v>17</v>
      </c>
      <c r="B52" s="18" t="s">
        <v>94</v>
      </c>
      <c r="C52" s="18" t="s">
        <v>48</v>
      </c>
      <c r="D52" s="17" t="s">
        <v>355</v>
      </c>
      <c r="E52" s="18" t="s">
        <v>108</v>
      </c>
      <c r="F52" s="18" t="s">
        <v>43</v>
      </c>
      <c r="G52" s="75">
        <f>H52+I52+J52+K52</f>
        <v>811.94094</v>
      </c>
      <c r="H52" s="75">
        <f>H53+H54</f>
        <v>219.57443999999998</v>
      </c>
      <c r="I52" s="75">
        <f>I53+I54</f>
        <v>80.24753999999999</v>
      </c>
      <c r="J52" s="75">
        <f>J53+J54</f>
        <v>240.8548</v>
      </c>
      <c r="K52" s="75">
        <f>K53+K54</f>
        <v>271.26416</v>
      </c>
      <c r="L52" s="72"/>
      <c r="M52" s="72"/>
    </row>
    <row r="53" spans="1:13" ht="13.5" customHeight="1">
      <c r="A53" s="14" t="s">
        <v>18</v>
      </c>
      <c r="B53" s="18" t="s">
        <v>94</v>
      </c>
      <c r="C53" s="18" t="s">
        <v>48</v>
      </c>
      <c r="D53" s="18" t="s">
        <v>355</v>
      </c>
      <c r="E53" s="18" t="s">
        <v>109</v>
      </c>
      <c r="F53" s="18" t="s">
        <v>44</v>
      </c>
      <c r="G53" s="71">
        <f t="shared" si="3"/>
        <v>624.53833</v>
      </c>
      <c r="H53" s="71">
        <f>149.92+31.02779</f>
        <v>180.94779</v>
      </c>
      <c r="I53" s="71">
        <f>187.41-31.02779-107.05199</f>
        <v>49.33021999999998</v>
      </c>
      <c r="J53" s="71">
        <f>187.41+107.05199-76.805-32.66868</f>
        <v>184.98831</v>
      </c>
      <c r="K53" s="76">
        <f>224.88+32.66868-48.27667</f>
        <v>209.27201</v>
      </c>
      <c r="L53" s="72"/>
      <c r="M53" s="72"/>
    </row>
    <row r="54" spans="1:13" ht="13.5" customHeight="1">
      <c r="A54" s="14" t="s">
        <v>20</v>
      </c>
      <c r="B54" s="18" t="s">
        <v>94</v>
      </c>
      <c r="C54" s="18" t="s">
        <v>48</v>
      </c>
      <c r="D54" s="18" t="s">
        <v>355</v>
      </c>
      <c r="E54" s="18" t="s">
        <v>303</v>
      </c>
      <c r="F54" s="18" t="s">
        <v>46</v>
      </c>
      <c r="G54" s="71">
        <f t="shared" si="3"/>
        <v>187.40261</v>
      </c>
      <c r="H54" s="71">
        <f>45.28-6.65335</f>
        <v>38.62665</v>
      </c>
      <c r="I54" s="71">
        <f>56.6+6.65335-32.33603</f>
        <v>30.917319999999997</v>
      </c>
      <c r="J54" s="71">
        <f>56.6+32.33603-23.195-9.87454</f>
        <v>55.86649</v>
      </c>
      <c r="K54" s="76">
        <f>67.9+9.87454-15.78239</f>
        <v>61.99215</v>
      </c>
      <c r="L54" s="72"/>
      <c r="M54" s="72"/>
    </row>
    <row r="55" spans="1:13" ht="13.5" customHeight="1" hidden="1">
      <c r="A55" s="14" t="s">
        <v>33</v>
      </c>
      <c r="B55" s="18" t="s">
        <v>94</v>
      </c>
      <c r="C55" s="18" t="s">
        <v>48</v>
      </c>
      <c r="D55" s="18" t="s">
        <v>162</v>
      </c>
      <c r="E55" s="18" t="s">
        <v>308</v>
      </c>
      <c r="F55" s="18" t="s">
        <v>55</v>
      </c>
      <c r="G55" s="71">
        <f t="shared" si="3"/>
        <v>0</v>
      </c>
      <c r="H55" s="71">
        <v>0</v>
      </c>
      <c r="I55" s="71">
        <v>0</v>
      </c>
      <c r="J55" s="71">
        <v>0</v>
      </c>
      <c r="K55" s="71">
        <v>0</v>
      </c>
      <c r="L55" s="72"/>
      <c r="M55" s="72"/>
    </row>
    <row r="56" spans="1:13" ht="13.5" customHeight="1">
      <c r="A56" s="14" t="s">
        <v>159</v>
      </c>
      <c r="B56" s="18" t="s">
        <v>94</v>
      </c>
      <c r="C56" s="18" t="s">
        <v>48</v>
      </c>
      <c r="D56" s="18" t="s">
        <v>165</v>
      </c>
      <c r="E56" s="18" t="s">
        <v>115</v>
      </c>
      <c r="F56" s="18" t="s">
        <v>53</v>
      </c>
      <c r="G56" s="94">
        <f t="shared" si="3"/>
        <v>7.6128</v>
      </c>
      <c r="H56" s="94">
        <f>2-0.7312</f>
        <v>1.2688000000000001</v>
      </c>
      <c r="I56" s="94">
        <f>2+0.7312-0.828</f>
        <v>1.9032</v>
      </c>
      <c r="J56" s="94">
        <f>3+0.828-1.9248</f>
        <v>1.9031999999999998</v>
      </c>
      <c r="K56" s="94">
        <f>3+1.9248-2.3872</f>
        <v>2.5376000000000003</v>
      </c>
      <c r="L56" s="72"/>
      <c r="M56" s="72"/>
    </row>
    <row r="57" spans="1:13" ht="13.5" customHeight="1">
      <c r="A57" s="14" t="s">
        <v>32</v>
      </c>
      <c r="B57" s="18" t="s">
        <v>94</v>
      </c>
      <c r="C57" s="18" t="s">
        <v>48</v>
      </c>
      <c r="D57" s="18" t="s">
        <v>165</v>
      </c>
      <c r="E57" s="18" t="s">
        <v>115</v>
      </c>
      <c r="F57" s="18" t="s">
        <v>54</v>
      </c>
      <c r="G57" s="84">
        <f t="shared" si="3"/>
        <v>8.5</v>
      </c>
      <c r="H57" s="84">
        <v>1.7</v>
      </c>
      <c r="I57" s="84">
        <f>2.9+1.9</f>
        <v>4.8</v>
      </c>
      <c r="J57" s="83">
        <v>2</v>
      </c>
      <c r="K57" s="83">
        <v>0</v>
      </c>
      <c r="L57" s="72"/>
      <c r="M57" s="72"/>
    </row>
    <row r="58" spans="1:13" ht="13.5" customHeight="1" hidden="1">
      <c r="A58" s="13" t="s">
        <v>39</v>
      </c>
      <c r="B58" s="18" t="s">
        <v>94</v>
      </c>
      <c r="C58" s="18" t="s">
        <v>48</v>
      </c>
      <c r="D58" s="18" t="s">
        <v>165</v>
      </c>
      <c r="E58" s="18" t="s">
        <v>115</v>
      </c>
      <c r="F58" s="18" t="s">
        <v>59</v>
      </c>
      <c r="G58" s="71">
        <f t="shared" si="3"/>
        <v>0</v>
      </c>
      <c r="H58" s="71">
        <f>2-1.7-0.3</f>
        <v>0</v>
      </c>
      <c r="I58" s="71">
        <v>0</v>
      </c>
      <c r="J58" s="71">
        <f>2.4-1.9-0.5</f>
        <v>0</v>
      </c>
      <c r="K58" s="71">
        <f>3-1.5-1.5</f>
        <v>0</v>
      </c>
      <c r="L58" s="72"/>
      <c r="M58" s="72"/>
    </row>
    <row r="59" spans="1:13" ht="13.5" customHeight="1" hidden="1">
      <c r="A59" s="16" t="s">
        <v>61</v>
      </c>
      <c r="B59" s="17" t="s">
        <v>94</v>
      </c>
      <c r="C59" s="17" t="s">
        <v>62</v>
      </c>
      <c r="D59" s="17" t="s">
        <v>182</v>
      </c>
      <c r="E59" s="17" t="s">
        <v>68</v>
      </c>
      <c r="F59" s="17"/>
      <c r="G59" s="75">
        <f>G60+G67+G68+G66+G64</f>
        <v>188.25938</v>
      </c>
      <c r="H59" s="75">
        <f>H60+H67+H68+H66+H64</f>
        <v>40.66361</v>
      </c>
      <c r="I59" s="75">
        <f>I60+I67+I68+I66+I64</f>
        <v>64.97556</v>
      </c>
      <c r="J59" s="75">
        <f>J60+J67+J68+J66+J64</f>
        <v>43.86962</v>
      </c>
      <c r="K59" s="75">
        <f>K60+K67+K68+K66+K64</f>
        <v>38.75059000000001</v>
      </c>
      <c r="L59" s="70"/>
      <c r="M59" s="70"/>
    </row>
    <row r="60" spans="1:13" ht="13.5" customHeight="1" hidden="1">
      <c r="A60" s="13" t="s">
        <v>17</v>
      </c>
      <c r="B60" s="18"/>
      <c r="C60" s="18"/>
      <c r="D60" s="18"/>
      <c r="E60" s="18"/>
      <c r="F60" s="18" t="s">
        <v>43</v>
      </c>
      <c r="G60" s="71">
        <f>H60+I60+J60+K60</f>
        <v>184.87938</v>
      </c>
      <c r="H60" s="71">
        <f>H61+H63+H62</f>
        <v>40.66361</v>
      </c>
      <c r="I60" s="71">
        <f>I61+I63+I62</f>
        <v>63.29556</v>
      </c>
      <c r="J60" s="71">
        <f>J61+J63+J62</f>
        <v>43.86962</v>
      </c>
      <c r="K60" s="71">
        <f>K61+K63+K62</f>
        <v>37.05059000000001</v>
      </c>
      <c r="L60" s="72"/>
      <c r="M60" s="72"/>
    </row>
    <row r="61" spans="1:13" ht="13.5" customHeight="1" hidden="1">
      <c r="A61" s="14" t="s">
        <v>18</v>
      </c>
      <c r="B61" s="18"/>
      <c r="C61" s="18"/>
      <c r="D61" s="18"/>
      <c r="E61" s="18"/>
      <c r="F61" s="18" t="s">
        <v>44</v>
      </c>
      <c r="G61" s="71">
        <f>H61+I61+J61+K61</f>
        <v>143.33886</v>
      </c>
      <c r="H61" s="71">
        <f aca="true" t="shared" si="4" ref="H61:K63">H76</f>
        <v>32.92133</v>
      </c>
      <c r="I61" s="71">
        <f t="shared" si="4"/>
        <v>47.2224</v>
      </c>
      <c r="J61" s="71">
        <f t="shared" si="4"/>
        <v>23.816419999999994</v>
      </c>
      <c r="K61" s="71">
        <f t="shared" si="4"/>
        <v>39.378710000000005</v>
      </c>
      <c r="L61" s="72"/>
      <c r="M61" s="72"/>
    </row>
    <row r="62" spans="1:13" ht="12.75" customHeight="1" hidden="1">
      <c r="A62" s="14" t="s">
        <v>19</v>
      </c>
      <c r="B62" s="18"/>
      <c r="C62" s="18"/>
      <c r="D62" s="18"/>
      <c r="E62" s="18"/>
      <c r="F62" s="18" t="s">
        <v>45</v>
      </c>
      <c r="G62" s="71">
        <f>SUM(H62:K62)</f>
        <v>0</v>
      </c>
      <c r="H62" s="71">
        <f t="shared" si="4"/>
        <v>0</v>
      </c>
      <c r="I62" s="71">
        <f t="shared" si="4"/>
        <v>0</v>
      </c>
      <c r="J62" s="71">
        <f t="shared" si="4"/>
        <v>0</v>
      </c>
      <c r="K62" s="71">
        <f t="shared" si="4"/>
        <v>0</v>
      </c>
      <c r="L62" s="72"/>
      <c r="M62" s="72"/>
    </row>
    <row r="63" spans="1:13" ht="13.5" customHeight="1" hidden="1">
      <c r="A63" s="14" t="s">
        <v>20</v>
      </c>
      <c r="B63" s="18"/>
      <c r="C63" s="18"/>
      <c r="D63" s="18"/>
      <c r="E63" s="18"/>
      <c r="F63" s="18" t="s">
        <v>46</v>
      </c>
      <c r="G63" s="71">
        <f>H63+I63+J63+K63</f>
        <v>41.54052</v>
      </c>
      <c r="H63" s="71">
        <f t="shared" si="4"/>
        <v>7.742280000000001</v>
      </c>
      <c r="I63" s="71">
        <f>I78</f>
        <v>16.07316</v>
      </c>
      <c r="J63" s="71">
        <f t="shared" si="4"/>
        <v>20.0532</v>
      </c>
      <c r="K63" s="71">
        <f t="shared" si="4"/>
        <v>-2.32812</v>
      </c>
      <c r="L63" s="72"/>
      <c r="M63" s="72"/>
    </row>
    <row r="64" spans="1:13" ht="12.75" customHeight="1" hidden="1">
      <c r="A64" s="14" t="s">
        <v>21</v>
      </c>
      <c r="B64" s="18"/>
      <c r="C64" s="18"/>
      <c r="D64" s="18"/>
      <c r="E64" s="18"/>
      <c r="F64" s="18" t="s">
        <v>49</v>
      </c>
      <c r="G64" s="71">
        <f>H64+I64+J64+K64</f>
        <v>3.38</v>
      </c>
      <c r="H64" s="71">
        <f>H65</f>
        <v>0</v>
      </c>
      <c r="I64" s="71">
        <f>I65</f>
        <v>1.68</v>
      </c>
      <c r="J64" s="71">
        <f>J65</f>
        <v>0</v>
      </c>
      <c r="K64" s="71">
        <f>K65</f>
        <v>1.7000000000000002</v>
      </c>
      <c r="L64" s="72"/>
      <c r="M64" s="72"/>
    </row>
    <row r="65" spans="1:13" ht="15" customHeight="1" hidden="1">
      <c r="A65" s="14" t="s">
        <v>32</v>
      </c>
      <c r="B65" s="18"/>
      <c r="C65" s="18"/>
      <c r="D65" s="18"/>
      <c r="E65" s="18"/>
      <c r="F65" s="18" t="s">
        <v>54</v>
      </c>
      <c r="G65" s="71">
        <f>H65+I65+J65+K65</f>
        <v>3.38</v>
      </c>
      <c r="H65" s="71">
        <f>H82</f>
        <v>0</v>
      </c>
      <c r="I65" s="71">
        <f>I82</f>
        <v>1.68</v>
      </c>
      <c r="J65" s="71">
        <f>J82</f>
        <v>0</v>
      </c>
      <c r="K65" s="71">
        <f>K82</f>
        <v>1.7000000000000002</v>
      </c>
      <c r="L65" s="72"/>
      <c r="M65" s="72"/>
    </row>
    <row r="66" spans="1:13" ht="14.25" customHeight="1" hidden="1">
      <c r="A66" s="14" t="s">
        <v>113</v>
      </c>
      <c r="B66" s="18"/>
      <c r="C66" s="18"/>
      <c r="D66" s="18"/>
      <c r="E66" s="18"/>
      <c r="F66" s="18" t="s">
        <v>56</v>
      </c>
      <c r="G66" s="71">
        <f>H66+I66+J66+K66</f>
        <v>0</v>
      </c>
      <c r="H66" s="71">
        <f>H79</f>
        <v>0</v>
      </c>
      <c r="I66" s="71">
        <f>I79</f>
        <v>0</v>
      </c>
      <c r="J66" s="71">
        <f>J79</f>
        <v>0</v>
      </c>
      <c r="K66" s="71">
        <f>K79</f>
        <v>0</v>
      </c>
      <c r="L66" s="72"/>
      <c r="M66" s="72"/>
    </row>
    <row r="67" spans="1:13" ht="11.25" customHeight="1" hidden="1">
      <c r="A67" s="13" t="s">
        <v>33</v>
      </c>
      <c r="B67" s="18"/>
      <c r="C67" s="18"/>
      <c r="D67" s="18"/>
      <c r="E67" s="18"/>
      <c r="F67" s="18" t="s">
        <v>55</v>
      </c>
      <c r="G67" s="71">
        <f>H67+I67+J67+K67</f>
        <v>0</v>
      </c>
      <c r="H67" s="71">
        <f>H83</f>
        <v>0</v>
      </c>
      <c r="I67" s="71">
        <f>I83</f>
        <v>0</v>
      </c>
      <c r="J67" s="71">
        <f>J83</f>
        <v>0</v>
      </c>
      <c r="K67" s="71">
        <f>K83</f>
        <v>0</v>
      </c>
      <c r="L67" s="72"/>
      <c r="M67" s="72"/>
    </row>
    <row r="68" spans="1:13" ht="15" customHeight="1" hidden="1">
      <c r="A68" s="13" t="s">
        <v>35</v>
      </c>
      <c r="B68" s="18"/>
      <c r="C68" s="18"/>
      <c r="D68" s="18"/>
      <c r="E68" s="18"/>
      <c r="F68" s="18" t="s">
        <v>57</v>
      </c>
      <c r="G68" s="71">
        <f>G69+G70</f>
        <v>0</v>
      </c>
      <c r="H68" s="71">
        <f>H69+H70</f>
        <v>0</v>
      </c>
      <c r="I68" s="71">
        <f>I69+I70</f>
        <v>0</v>
      </c>
      <c r="J68" s="71">
        <f>J69+J70</f>
        <v>0</v>
      </c>
      <c r="K68" s="71">
        <f>K69+K70</f>
        <v>0</v>
      </c>
      <c r="L68" s="72"/>
      <c r="M68" s="72"/>
    </row>
    <row r="69" spans="1:13" ht="12.75" customHeight="1" hidden="1">
      <c r="A69" s="13" t="s">
        <v>36</v>
      </c>
      <c r="B69" s="18"/>
      <c r="C69" s="18"/>
      <c r="D69" s="18"/>
      <c r="E69" s="18"/>
      <c r="F69" s="18" t="s">
        <v>58</v>
      </c>
      <c r="G69" s="71">
        <f>H69+I69+J69+K69</f>
        <v>0</v>
      </c>
      <c r="H69" s="71"/>
      <c r="I69" s="71"/>
      <c r="J69" s="71">
        <f>J85</f>
        <v>0</v>
      </c>
      <c r="K69" s="71">
        <f>K85</f>
        <v>0</v>
      </c>
      <c r="L69" s="72"/>
      <c r="M69" s="72"/>
    </row>
    <row r="70" spans="1:13" ht="15" customHeight="1" hidden="1">
      <c r="A70" s="13" t="s">
        <v>37</v>
      </c>
      <c r="B70" s="18"/>
      <c r="C70" s="18"/>
      <c r="D70" s="18"/>
      <c r="E70" s="18"/>
      <c r="F70" s="18" t="s">
        <v>59</v>
      </c>
      <c r="G70" s="71">
        <f>G73</f>
        <v>0</v>
      </c>
      <c r="H70" s="71">
        <f>H73</f>
        <v>0</v>
      </c>
      <c r="I70" s="71">
        <f>I73</f>
        <v>0</v>
      </c>
      <c r="J70" s="71">
        <f>J73</f>
        <v>0</v>
      </c>
      <c r="K70" s="71">
        <f>K73</f>
        <v>0</v>
      </c>
      <c r="L70" s="72"/>
      <c r="M70" s="72"/>
    </row>
    <row r="71" spans="1:13" ht="12" customHeight="1" hidden="1">
      <c r="A71" s="13" t="s">
        <v>25</v>
      </c>
      <c r="B71" s="18"/>
      <c r="C71" s="18"/>
      <c r="D71" s="18"/>
      <c r="E71" s="18"/>
      <c r="F71" s="18"/>
      <c r="G71" s="71"/>
      <c r="H71" s="71"/>
      <c r="I71" s="71"/>
      <c r="J71" s="71"/>
      <c r="K71" s="71"/>
      <c r="L71" s="72"/>
      <c r="M71" s="72"/>
    </row>
    <row r="72" spans="1:13" ht="14.25" customHeight="1" hidden="1">
      <c r="A72" s="13" t="s">
        <v>38</v>
      </c>
      <c r="B72" s="18"/>
      <c r="C72" s="18"/>
      <c r="D72" s="18"/>
      <c r="E72" s="18"/>
      <c r="F72" s="18" t="s">
        <v>59</v>
      </c>
      <c r="G72" s="71"/>
      <c r="H72" s="71"/>
      <c r="I72" s="71"/>
      <c r="J72" s="71"/>
      <c r="K72" s="71"/>
      <c r="L72" s="72"/>
      <c r="M72" s="72"/>
    </row>
    <row r="73" spans="1:13" ht="12" customHeight="1" hidden="1">
      <c r="A73" s="13" t="s">
        <v>39</v>
      </c>
      <c r="B73" s="18"/>
      <c r="C73" s="18"/>
      <c r="D73" s="18"/>
      <c r="E73" s="18"/>
      <c r="F73" s="18" t="s">
        <v>59</v>
      </c>
      <c r="G73" s="71">
        <f>H73+I73+J73+K73</f>
        <v>0</v>
      </c>
      <c r="H73" s="71">
        <f>H87</f>
        <v>0</v>
      </c>
      <c r="I73" s="71">
        <f>I87</f>
        <v>0</v>
      </c>
      <c r="J73" s="71">
        <f>J87</f>
        <v>0</v>
      </c>
      <c r="K73" s="71">
        <f>K87</f>
        <v>0</v>
      </c>
      <c r="L73" s="72"/>
      <c r="M73" s="72"/>
    </row>
    <row r="74" spans="1:13" ht="14.25" customHeight="1">
      <c r="A74" s="12" t="s">
        <v>102</v>
      </c>
      <c r="B74" s="17" t="s">
        <v>94</v>
      </c>
      <c r="C74" s="17" t="s">
        <v>62</v>
      </c>
      <c r="D74" s="17" t="s">
        <v>163</v>
      </c>
      <c r="E74" s="17" t="s">
        <v>150</v>
      </c>
      <c r="F74" s="17"/>
      <c r="G74" s="75">
        <f>H74+I74+J74+K74</f>
        <v>188.25938000000002</v>
      </c>
      <c r="H74" s="75">
        <f>H75+H79+H87</f>
        <v>40.66361</v>
      </c>
      <c r="I74" s="75">
        <f>I75+I79+I87+I82</f>
        <v>64.97556</v>
      </c>
      <c r="J74" s="75">
        <f>J75+J79+J87+J82</f>
        <v>43.86962</v>
      </c>
      <c r="K74" s="75">
        <f>K75+K79+K87+K82</f>
        <v>38.75059000000001</v>
      </c>
      <c r="L74" s="70"/>
      <c r="M74" s="70"/>
    </row>
    <row r="75" spans="1:13" ht="14.25" customHeight="1">
      <c r="A75" s="13" t="s">
        <v>17</v>
      </c>
      <c r="B75" s="18" t="s">
        <v>94</v>
      </c>
      <c r="C75" s="18" t="s">
        <v>62</v>
      </c>
      <c r="D75" s="18" t="s">
        <v>163</v>
      </c>
      <c r="E75" s="18" t="s">
        <v>108</v>
      </c>
      <c r="F75" s="18" t="s">
        <v>43</v>
      </c>
      <c r="G75" s="71">
        <f>H75+I75+J75+K75</f>
        <v>184.87938</v>
      </c>
      <c r="H75" s="71">
        <f>H76+H78+H77</f>
        <v>40.66361</v>
      </c>
      <c r="I75" s="71">
        <f>SUM(I76:I78)</f>
        <v>63.29556</v>
      </c>
      <c r="J75" s="71">
        <f>SUM(J76:J78)</f>
        <v>43.86962</v>
      </c>
      <c r="K75" s="71">
        <f>SUM(K76:K78)</f>
        <v>37.05059000000001</v>
      </c>
      <c r="L75" s="72"/>
      <c r="M75" s="72"/>
    </row>
    <row r="76" spans="1:18" ht="13.5" customHeight="1">
      <c r="A76" s="14" t="s">
        <v>18</v>
      </c>
      <c r="B76" s="18" t="s">
        <v>94</v>
      </c>
      <c r="C76" s="18" t="s">
        <v>62</v>
      </c>
      <c r="D76" s="18" t="s">
        <v>163</v>
      </c>
      <c r="E76" s="18" t="s">
        <v>109</v>
      </c>
      <c r="F76" s="18" t="s">
        <v>44</v>
      </c>
      <c r="G76" s="71">
        <f>H76+I76+J76+K76</f>
        <v>143.33886</v>
      </c>
      <c r="H76" s="71">
        <f>32.15+0.77133</f>
        <v>32.92133</v>
      </c>
      <c r="I76" s="71">
        <f>40.19-0.77133+7.80373</f>
        <v>47.2224</v>
      </c>
      <c r="J76" s="71">
        <f>40.19-7.80373-8.56985</f>
        <v>23.816419999999994</v>
      </c>
      <c r="K76" s="71">
        <f>48.22+8.56985-0.38-3.78845-13.62269+0.38</f>
        <v>39.378710000000005</v>
      </c>
      <c r="L76" s="72"/>
      <c r="M76" s="72"/>
      <c r="R76" s="61"/>
    </row>
    <row r="77" spans="1:13" ht="12" customHeight="1" hidden="1">
      <c r="A77" s="14" t="s">
        <v>19</v>
      </c>
      <c r="B77" s="18" t="s">
        <v>94</v>
      </c>
      <c r="C77" s="18" t="s">
        <v>62</v>
      </c>
      <c r="D77" s="18" t="s">
        <v>163</v>
      </c>
      <c r="E77" s="18" t="s">
        <v>114</v>
      </c>
      <c r="F77" s="18" t="s">
        <v>45</v>
      </c>
      <c r="G77" s="71">
        <f>SUM(H77:K77)</f>
        <v>0</v>
      </c>
      <c r="H77" s="71">
        <v>0</v>
      </c>
      <c r="I77" s="71">
        <v>0</v>
      </c>
      <c r="J77" s="71">
        <v>0</v>
      </c>
      <c r="K77" s="71">
        <v>0</v>
      </c>
      <c r="L77" s="72"/>
      <c r="M77" s="72"/>
    </row>
    <row r="78" spans="1:13" ht="15" customHeight="1">
      <c r="A78" s="14" t="s">
        <v>20</v>
      </c>
      <c r="B78" s="18" t="s">
        <v>94</v>
      </c>
      <c r="C78" s="18" t="s">
        <v>62</v>
      </c>
      <c r="D78" s="18" t="s">
        <v>163</v>
      </c>
      <c r="E78" s="18" t="s">
        <v>303</v>
      </c>
      <c r="F78" s="18" t="s">
        <v>46</v>
      </c>
      <c r="G78" s="71">
        <f>H78+I78+J78+K78</f>
        <v>41.54052</v>
      </c>
      <c r="H78" s="71">
        <f>9.71-1.96772</f>
        <v>7.742280000000001</v>
      </c>
      <c r="I78" s="71">
        <f>12.14+1.96772+1.96544</f>
        <v>16.07316</v>
      </c>
      <c r="J78" s="71">
        <v>20.0532</v>
      </c>
      <c r="K78" s="71">
        <f>4.68136+3.78845-10.79793</f>
        <v>-2.32812</v>
      </c>
      <c r="L78" s="72"/>
      <c r="M78" s="72"/>
    </row>
    <row r="79" spans="1:13" ht="10.5" customHeight="1" hidden="1">
      <c r="A79" s="14" t="s">
        <v>113</v>
      </c>
      <c r="B79" s="18" t="s">
        <v>94</v>
      </c>
      <c r="C79" s="18" t="s">
        <v>62</v>
      </c>
      <c r="D79" s="18" t="s">
        <v>163</v>
      </c>
      <c r="E79" s="18" t="s">
        <v>114</v>
      </c>
      <c r="F79" s="18" t="s">
        <v>56</v>
      </c>
      <c r="G79" s="71">
        <f aca="true" t="shared" si="5" ref="G79:G86">H79+I79+J79+K79</f>
        <v>0</v>
      </c>
      <c r="H79" s="71"/>
      <c r="I79" s="71"/>
      <c r="J79" s="71"/>
      <c r="K79" s="71"/>
      <c r="L79" s="72"/>
      <c r="M79" s="72"/>
    </row>
    <row r="80" spans="1:13" ht="15.75" customHeight="1" hidden="1">
      <c r="A80" s="12" t="s">
        <v>102</v>
      </c>
      <c r="B80" s="17" t="s">
        <v>94</v>
      </c>
      <c r="C80" s="17" t="s">
        <v>62</v>
      </c>
      <c r="D80" s="17" t="s">
        <v>165</v>
      </c>
      <c r="E80" s="17" t="s">
        <v>148</v>
      </c>
      <c r="F80" s="17"/>
      <c r="G80" s="75">
        <f t="shared" si="5"/>
        <v>3.38</v>
      </c>
      <c r="H80" s="75">
        <f>H84+H81+H83</f>
        <v>0</v>
      </c>
      <c r="I80" s="75">
        <f>I84+I81+I83</f>
        <v>1.68</v>
      </c>
      <c r="J80" s="75">
        <f>J84+J81+J83</f>
        <v>0</v>
      </c>
      <c r="K80" s="75">
        <f>K84+K81+K83</f>
        <v>1.7000000000000002</v>
      </c>
      <c r="L80" s="70"/>
      <c r="M80" s="70"/>
    </row>
    <row r="81" spans="1:13" ht="19.5" customHeight="1" hidden="1">
      <c r="A81" s="14" t="s">
        <v>21</v>
      </c>
      <c r="B81" s="18" t="s">
        <v>94</v>
      </c>
      <c r="C81" s="18" t="s">
        <v>62</v>
      </c>
      <c r="D81" s="18" t="s">
        <v>165</v>
      </c>
      <c r="E81" s="18" t="s">
        <v>116</v>
      </c>
      <c r="F81" s="18" t="s">
        <v>49</v>
      </c>
      <c r="G81" s="71">
        <f t="shared" si="5"/>
        <v>3.38</v>
      </c>
      <c r="H81" s="71">
        <f>H82</f>
        <v>0</v>
      </c>
      <c r="I81" s="71">
        <f>I82</f>
        <v>1.68</v>
      </c>
      <c r="J81" s="71">
        <f>J82</f>
        <v>0</v>
      </c>
      <c r="K81" s="71">
        <f>K82</f>
        <v>1.7000000000000002</v>
      </c>
      <c r="L81" s="77"/>
      <c r="M81" s="77"/>
    </row>
    <row r="82" spans="1:13" ht="12" customHeight="1">
      <c r="A82" s="14" t="s">
        <v>32</v>
      </c>
      <c r="B82" s="18" t="s">
        <v>94</v>
      </c>
      <c r="C82" s="18" t="s">
        <v>62</v>
      </c>
      <c r="D82" s="18" t="s">
        <v>165</v>
      </c>
      <c r="E82" s="18" t="s">
        <v>115</v>
      </c>
      <c r="F82" s="18" t="s">
        <v>54</v>
      </c>
      <c r="G82" s="98">
        <f t="shared" si="5"/>
        <v>3.38</v>
      </c>
      <c r="H82" s="83">
        <v>0</v>
      </c>
      <c r="I82" s="98">
        <v>1.68</v>
      </c>
      <c r="J82" s="83">
        <v>0</v>
      </c>
      <c r="K82" s="84">
        <f>0.38+1.32+0.38-0.38</f>
        <v>1.7000000000000002</v>
      </c>
      <c r="L82" s="77"/>
      <c r="M82" s="77"/>
    </row>
    <row r="83" spans="1:13" ht="15" customHeight="1" hidden="1">
      <c r="A83" s="14" t="s">
        <v>33</v>
      </c>
      <c r="B83" s="18" t="s">
        <v>94</v>
      </c>
      <c r="C83" s="18" t="s">
        <v>62</v>
      </c>
      <c r="D83" s="18" t="s">
        <v>165</v>
      </c>
      <c r="E83" s="18" t="s">
        <v>115</v>
      </c>
      <c r="F83" s="18" t="s">
        <v>55</v>
      </c>
      <c r="G83" s="71">
        <f t="shared" si="5"/>
        <v>0</v>
      </c>
      <c r="H83" s="71">
        <v>0</v>
      </c>
      <c r="I83" s="71">
        <v>0</v>
      </c>
      <c r="J83" s="71">
        <v>0</v>
      </c>
      <c r="K83" s="71">
        <v>0</v>
      </c>
      <c r="L83" s="77"/>
      <c r="M83" s="77"/>
    </row>
    <row r="84" spans="1:13" ht="15" customHeight="1" hidden="1">
      <c r="A84" s="13" t="s">
        <v>35</v>
      </c>
      <c r="B84" s="18" t="s">
        <v>94</v>
      </c>
      <c r="C84" s="18" t="s">
        <v>62</v>
      </c>
      <c r="D84" s="18" t="s">
        <v>165</v>
      </c>
      <c r="E84" s="18" t="s">
        <v>116</v>
      </c>
      <c r="F84" s="18" t="s">
        <v>57</v>
      </c>
      <c r="G84" s="71">
        <f t="shared" si="5"/>
        <v>0</v>
      </c>
      <c r="H84" s="71">
        <f>H85+H86</f>
        <v>0</v>
      </c>
      <c r="I84" s="71">
        <f>I85+I86</f>
        <v>0</v>
      </c>
      <c r="J84" s="71">
        <f>J85+J86</f>
        <v>0</v>
      </c>
      <c r="K84" s="71">
        <f>K85+K86</f>
        <v>0</v>
      </c>
      <c r="L84" s="72"/>
      <c r="M84" s="72"/>
    </row>
    <row r="85" spans="1:13" ht="15.75" customHeight="1" hidden="1">
      <c r="A85" s="13" t="s">
        <v>103</v>
      </c>
      <c r="B85" s="18" t="s">
        <v>94</v>
      </c>
      <c r="C85" s="18" t="s">
        <v>62</v>
      </c>
      <c r="D85" s="18" t="s">
        <v>165</v>
      </c>
      <c r="E85" s="18" t="s">
        <v>115</v>
      </c>
      <c r="F85" s="18" t="s">
        <v>58</v>
      </c>
      <c r="G85" s="71">
        <f t="shared" si="5"/>
        <v>0</v>
      </c>
      <c r="H85" s="71">
        <v>0</v>
      </c>
      <c r="I85" s="71">
        <v>0</v>
      </c>
      <c r="J85" s="71">
        <v>0</v>
      </c>
      <c r="K85" s="71">
        <v>0</v>
      </c>
      <c r="L85" s="72"/>
      <c r="M85" s="72"/>
    </row>
    <row r="86" spans="1:13" ht="14.25" customHeight="1" hidden="1">
      <c r="A86" s="13" t="s">
        <v>104</v>
      </c>
      <c r="B86" s="18" t="s">
        <v>94</v>
      </c>
      <c r="C86" s="18" t="s">
        <v>62</v>
      </c>
      <c r="D86" s="18" t="s">
        <v>165</v>
      </c>
      <c r="E86" s="18" t="s">
        <v>115</v>
      </c>
      <c r="F86" s="18" t="s">
        <v>59</v>
      </c>
      <c r="G86" s="71">
        <f t="shared" si="5"/>
        <v>0</v>
      </c>
      <c r="H86" s="71">
        <v>0</v>
      </c>
      <c r="I86" s="71">
        <v>0</v>
      </c>
      <c r="J86" s="71">
        <v>0</v>
      </c>
      <c r="K86" s="71">
        <v>0</v>
      </c>
      <c r="L86" s="72"/>
      <c r="M86" s="72"/>
    </row>
    <row r="87" spans="1:19" ht="14.25" customHeight="1" hidden="1">
      <c r="A87" s="13" t="s">
        <v>39</v>
      </c>
      <c r="B87" s="18" t="s">
        <v>94</v>
      </c>
      <c r="C87" s="18" t="s">
        <v>62</v>
      </c>
      <c r="D87" s="18" t="s">
        <v>165</v>
      </c>
      <c r="E87" s="18" t="s">
        <v>115</v>
      </c>
      <c r="F87" s="18" t="s">
        <v>59</v>
      </c>
      <c r="G87" s="71">
        <f>SUM(H87:K87)</f>
        <v>0</v>
      </c>
      <c r="H87" s="71">
        <v>0</v>
      </c>
      <c r="I87" s="71">
        <v>0</v>
      </c>
      <c r="J87" s="71">
        <f>0.32-0.32</f>
        <v>0</v>
      </c>
      <c r="K87" s="71">
        <f>1+0.32-1.32</f>
        <v>0</v>
      </c>
      <c r="L87" s="72"/>
      <c r="M87" s="72"/>
      <c r="R87" s="73"/>
      <c r="S87" s="73"/>
    </row>
    <row r="88" spans="1:13" ht="15.75" customHeight="1" hidden="1">
      <c r="A88" s="16" t="s">
        <v>63</v>
      </c>
      <c r="B88" s="17" t="s">
        <v>94</v>
      </c>
      <c r="C88" s="17" t="s">
        <v>105</v>
      </c>
      <c r="D88" s="17" t="s">
        <v>166</v>
      </c>
      <c r="E88" s="17" t="s">
        <v>151</v>
      </c>
      <c r="F88" s="17"/>
      <c r="G88" s="75">
        <f>G89</f>
        <v>0</v>
      </c>
      <c r="H88" s="75">
        <f>H89</f>
        <v>0</v>
      </c>
      <c r="I88" s="75">
        <f>I89</f>
        <v>0</v>
      </c>
      <c r="J88" s="75">
        <f>J89</f>
        <v>0</v>
      </c>
      <c r="K88" s="75">
        <f>K89</f>
        <v>0</v>
      </c>
      <c r="L88" s="70"/>
      <c r="M88" s="70"/>
    </row>
    <row r="89" spans="1:19" ht="12.75" customHeight="1" hidden="1">
      <c r="A89" s="14" t="s">
        <v>33</v>
      </c>
      <c r="B89" s="18" t="s">
        <v>94</v>
      </c>
      <c r="C89" s="18" t="s">
        <v>105</v>
      </c>
      <c r="D89" s="18" t="s">
        <v>166</v>
      </c>
      <c r="E89" s="18" t="s">
        <v>118</v>
      </c>
      <c r="F89" s="18" t="s">
        <v>55</v>
      </c>
      <c r="G89" s="71">
        <f aca="true" t="shared" si="6" ref="G89:G95">H89+I89+J89+K89</f>
        <v>0</v>
      </c>
      <c r="H89" s="71">
        <v>0</v>
      </c>
      <c r="I89" s="71">
        <v>0</v>
      </c>
      <c r="J89" s="71">
        <v>0</v>
      </c>
      <c r="K89" s="71">
        <f>300-50-250</f>
        <v>0</v>
      </c>
      <c r="L89" s="72"/>
      <c r="M89" s="78"/>
      <c r="Q89" s="61"/>
      <c r="R89" s="61"/>
      <c r="S89" s="61"/>
    </row>
    <row r="90" spans="1:13" ht="54" customHeight="1">
      <c r="A90" s="16" t="s">
        <v>375</v>
      </c>
      <c r="B90" s="17" t="s">
        <v>94</v>
      </c>
      <c r="C90" s="17" t="s">
        <v>144</v>
      </c>
      <c r="D90" s="17" t="s">
        <v>167</v>
      </c>
      <c r="E90" s="17" t="s">
        <v>148</v>
      </c>
      <c r="F90" s="17"/>
      <c r="G90" s="104">
        <f t="shared" si="6"/>
        <v>67.7</v>
      </c>
      <c r="H90" s="105">
        <f aca="true" t="shared" si="7" ref="H90:K91">H91</f>
        <v>49</v>
      </c>
      <c r="I90" s="105">
        <f t="shared" si="7"/>
        <v>0</v>
      </c>
      <c r="J90" s="104">
        <f t="shared" si="7"/>
        <v>3.5</v>
      </c>
      <c r="K90" s="104">
        <f t="shared" si="7"/>
        <v>15.200000000000003</v>
      </c>
      <c r="L90" s="70"/>
      <c r="M90" s="70"/>
    </row>
    <row r="91" spans="1:13" ht="55.5" customHeight="1">
      <c r="A91" s="19" t="s">
        <v>168</v>
      </c>
      <c r="B91" s="20" t="s">
        <v>94</v>
      </c>
      <c r="C91" s="20" t="s">
        <v>144</v>
      </c>
      <c r="D91" s="20" t="s">
        <v>169</v>
      </c>
      <c r="E91" s="20" t="s">
        <v>116</v>
      </c>
      <c r="F91" s="20" t="s">
        <v>49</v>
      </c>
      <c r="G91" s="82">
        <f t="shared" si="6"/>
        <v>67.7</v>
      </c>
      <c r="H91" s="81">
        <f t="shared" si="7"/>
        <v>49</v>
      </c>
      <c r="I91" s="81">
        <f t="shared" si="7"/>
        <v>0</v>
      </c>
      <c r="J91" s="82">
        <f t="shared" si="7"/>
        <v>3.5</v>
      </c>
      <c r="K91" s="82">
        <f t="shared" si="7"/>
        <v>15.200000000000003</v>
      </c>
      <c r="L91" s="72"/>
      <c r="M91" s="72"/>
    </row>
    <row r="92" spans="1:13" ht="12.75" customHeight="1">
      <c r="A92" s="13" t="s">
        <v>32</v>
      </c>
      <c r="B92" s="18" t="s">
        <v>94</v>
      </c>
      <c r="C92" s="18" t="s">
        <v>144</v>
      </c>
      <c r="D92" s="18" t="s">
        <v>169</v>
      </c>
      <c r="E92" s="18" t="s">
        <v>115</v>
      </c>
      <c r="F92" s="18" t="s">
        <v>54</v>
      </c>
      <c r="G92" s="84">
        <f t="shared" si="6"/>
        <v>67.7</v>
      </c>
      <c r="H92" s="83">
        <f>100-51</f>
        <v>49</v>
      </c>
      <c r="I92" s="83">
        <f>51-51</f>
        <v>0</v>
      </c>
      <c r="J92" s="84">
        <f>51-47.5</f>
        <v>3.5</v>
      </c>
      <c r="K92" s="84">
        <f>47.5-32.3</f>
        <v>15.200000000000003</v>
      </c>
      <c r="L92" s="72"/>
      <c r="M92" s="78"/>
    </row>
    <row r="93" spans="1:13" ht="44.25" customHeight="1">
      <c r="A93" s="16" t="s">
        <v>472</v>
      </c>
      <c r="B93" s="17" t="s">
        <v>94</v>
      </c>
      <c r="C93" s="17" t="s">
        <v>144</v>
      </c>
      <c r="D93" s="17" t="s">
        <v>171</v>
      </c>
      <c r="E93" s="17" t="s">
        <v>148</v>
      </c>
      <c r="F93" s="17"/>
      <c r="G93" s="105">
        <f t="shared" si="6"/>
        <v>199</v>
      </c>
      <c r="H93" s="105">
        <f>H94+H96</f>
        <v>0</v>
      </c>
      <c r="I93" s="105">
        <f>I94+I96</f>
        <v>88</v>
      </c>
      <c r="J93" s="105">
        <f>J94+J96</f>
        <v>99</v>
      </c>
      <c r="K93" s="105">
        <f>K94+K96</f>
        <v>12</v>
      </c>
      <c r="L93" s="70"/>
      <c r="M93" s="70"/>
    </row>
    <row r="94" spans="1:13" ht="30" customHeight="1" hidden="1">
      <c r="A94" s="21" t="s">
        <v>170</v>
      </c>
      <c r="B94" s="20" t="s">
        <v>94</v>
      </c>
      <c r="C94" s="20" t="s">
        <v>144</v>
      </c>
      <c r="D94" s="20" t="s">
        <v>172</v>
      </c>
      <c r="E94" s="20" t="s">
        <v>116</v>
      </c>
      <c r="F94" s="20" t="s">
        <v>49</v>
      </c>
      <c r="G94" s="81">
        <f t="shared" si="6"/>
        <v>0</v>
      </c>
      <c r="H94" s="81">
        <f aca="true" t="shared" si="8" ref="H94:K96">H95</f>
        <v>0</v>
      </c>
      <c r="I94" s="81">
        <f t="shared" si="8"/>
        <v>0</v>
      </c>
      <c r="J94" s="81">
        <f t="shared" si="8"/>
        <v>0</v>
      </c>
      <c r="K94" s="81">
        <f t="shared" si="8"/>
        <v>0</v>
      </c>
      <c r="L94" s="72"/>
      <c r="M94" s="78"/>
    </row>
    <row r="95" spans="1:13" ht="11.25" customHeight="1" hidden="1">
      <c r="A95" s="13" t="s">
        <v>32</v>
      </c>
      <c r="B95" s="18" t="s">
        <v>94</v>
      </c>
      <c r="C95" s="18" t="s">
        <v>144</v>
      </c>
      <c r="D95" s="18" t="s">
        <v>172</v>
      </c>
      <c r="E95" s="18" t="s">
        <v>115</v>
      </c>
      <c r="F95" s="18" t="s">
        <v>54</v>
      </c>
      <c r="G95" s="83">
        <f t="shared" si="6"/>
        <v>0</v>
      </c>
      <c r="H95" s="83">
        <f>40-40</f>
        <v>0</v>
      </c>
      <c r="I95" s="83">
        <f>40-40</f>
        <v>0</v>
      </c>
      <c r="J95" s="83">
        <f>40-40</f>
        <v>0</v>
      </c>
      <c r="K95" s="83">
        <f>40-40</f>
        <v>0</v>
      </c>
      <c r="L95" s="72"/>
      <c r="M95" s="72"/>
    </row>
    <row r="96" spans="1:13" ht="26.25" customHeight="1">
      <c r="A96" s="21" t="s">
        <v>174</v>
      </c>
      <c r="B96" s="20" t="s">
        <v>94</v>
      </c>
      <c r="C96" s="20" t="s">
        <v>144</v>
      </c>
      <c r="D96" s="20" t="s">
        <v>173</v>
      </c>
      <c r="E96" s="20" t="s">
        <v>116</v>
      </c>
      <c r="F96" s="20" t="s">
        <v>49</v>
      </c>
      <c r="G96" s="81">
        <f>H96+I96+J96+K96</f>
        <v>199</v>
      </c>
      <c r="H96" s="81">
        <f t="shared" si="8"/>
        <v>0</v>
      </c>
      <c r="I96" s="81">
        <f t="shared" si="8"/>
        <v>88</v>
      </c>
      <c r="J96" s="81">
        <f t="shared" si="8"/>
        <v>99</v>
      </c>
      <c r="K96" s="81">
        <f t="shared" si="8"/>
        <v>12</v>
      </c>
      <c r="L96" s="72"/>
      <c r="M96" s="72"/>
    </row>
    <row r="97" spans="1:13" ht="11.25" customHeight="1">
      <c r="A97" s="13" t="s">
        <v>32</v>
      </c>
      <c r="B97" s="18" t="s">
        <v>94</v>
      </c>
      <c r="C97" s="18" t="s">
        <v>144</v>
      </c>
      <c r="D97" s="18" t="s">
        <v>173</v>
      </c>
      <c r="E97" s="18" t="s">
        <v>115</v>
      </c>
      <c r="F97" s="18" t="s">
        <v>54</v>
      </c>
      <c r="G97" s="83">
        <f>H97+I97+J97+K97</f>
        <v>199</v>
      </c>
      <c r="H97" s="83">
        <f>270-270</f>
        <v>0</v>
      </c>
      <c r="I97" s="83">
        <f>270-182</f>
        <v>88</v>
      </c>
      <c r="J97" s="83">
        <f>182-83</f>
        <v>99</v>
      </c>
      <c r="K97" s="83">
        <f>83-71</f>
        <v>12</v>
      </c>
      <c r="L97" s="72"/>
      <c r="M97" s="72"/>
    </row>
    <row r="98" spans="1:13" ht="55.5" customHeight="1">
      <c r="A98" s="51" t="s">
        <v>378</v>
      </c>
      <c r="B98" s="17" t="s">
        <v>94</v>
      </c>
      <c r="C98" s="17" t="s">
        <v>144</v>
      </c>
      <c r="D98" s="17" t="s">
        <v>208</v>
      </c>
      <c r="E98" s="17" t="s">
        <v>68</v>
      </c>
      <c r="F98" s="18"/>
      <c r="G98" s="99">
        <f>H98+I98+J98+K98</f>
        <v>12315.4738</v>
      </c>
      <c r="H98" s="99">
        <f>H99+H103+H116+H118+H122+H124+H126+H128+H130</f>
        <v>2320.5525999999995</v>
      </c>
      <c r="I98" s="75">
        <f>I99+I103+I116+I118+I122+I124+I126+I128+I130</f>
        <v>4055.56191</v>
      </c>
      <c r="J98" s="75">
        <f>J99+J103+J116+J118+J122+J124+J126+J128+J130</f>
        <v>2645.5364700000005</v>
      </c>
      <c r="K98" s="75">
        <f>K99+K103+K116+K118+K122+K124+K126+K128+K130</f>
        <v>3293.8228199999994</v>
      </c>
      <c r="L98" s="72"/>
      <c r="M98" s="72"/>
    </row>
    <row r="99" spans="1:13" ht="36.75" customHeight="1">
      <c r="A99" s="21" t="s">
        <v>267</v>
      </c>
      <c r="B99" s="20" t="s">
        <v>94</v>
      </c>
      <c r="C99" s="20" t="s">
        <v>144</v>
      </c>
      <c r="D99" s="20" t="s">
        <v>210</v>
      </c>
      <c r="E99" s="20" t="s">
        <v>119</v>
      </c>
      <c r="F99" s="20" t="s">
        <v>43</v>
      </c>
      <c r="G99" s="79">
        <f>H99+I99+J99+K99</f>
        <v>8661.58617</v>
      </c>
      <c r="H99" s="100">
        <f>H100+H102</f>
        <v>1530.5765</v>
      </c>
      <c r="I99" s="79">
        <f>I100+I102</f>
        <v>2822.9868699999997</v>
      </c>
      <c r="J99" s="79">
        <f>J100+J102</f>
        <v>2039.81152</v>
      </c>
      <c r="K99" s="79">
        <f>K100+K102+K101</f>
        <v>2268.21128</v>
      </c>
      <c r="L99" s="72"/>
      <c r="M99" s="72"/>
    </row>
    <row r="100" spans="1:13" ht="11.25" customHeight="1">
      <c r="A100" s="14" t="s">
        <v>18</v>
      </c>
      <c r="B100" s="18" t="s">
        <v>94</v>
      </c>
      <c r="C100" s="18" t="s">
        <v>144</v>
      </c>
      <c r="D100" s="18" t="s">
        <v>210</v>
      </c>
      <c r="E100" s="18" t="s">
        <v>120</v>
      </c>
      <c r="F100" s="18" t="s">
        <v>44</v>
      </c>
      <c r="G100" s="71">
        <f>H100+I100+J100+K100</f>
        <v>6676.495309999999</v>
      </c>
      <c r="H100" s="71">
        <f>1363.01-142.03412</f>
        <v>1220.97588</v>
      </c>
      <c r="I100" s="71">
        <f>1630.34+142.03412+16.12903+355.20383</f>
        <v>2143.70698</v>
      </c>
      <c r="J100" s="71">
        <v>1549.90047</v>
      </c>
      <c r="K100" s="71">
        <f>1666.7857+95.12628</f>
        <v>1761.9119799999999</v>
      </c>
      <c r="L100" s="72"/>
      <c r="M100" s="72"/>
    </row>
    <row r="101" spans="1:13" ht="11.25" customHeight="1" hidden="1">
      <c r="A101" s="14" t="s">
        <v>19</v>
      </c>
      <c r="B101" s="18" t="s">
        <v>94</v>
      </c>
      <c r="C101" s="18" t="s">
        <v>144</v>
      </c>
      <c r="D101" s="18" t="s">
        <v>210</v>
      </c>
      <c r="E101" s="18" t="s">
        <v>125</v>
      </c>
      <c r="F101" s="18" t="s">
        <v>45</v>
      </c>
      <c r="G101" s="71">
        <f>K101</f>
        <v>0</v>
      </c>
      <c r="H101" s="71">
        <v>0</v>
      </c>
      <c r="I101" s="71">
        <v>0</v>
      </c>
      <c r="J101" s="71">
        <v>0</v>
      </c>
      <c r="K101" s="71">
        <v>0</v>
      </c>
      <c r="L101" s="72"/>
      <c r="M101" s="72"/>
    </row>
    <row r="102" spans="1:13" ht="11.25" customHeight="1">
      <c r="A102" s="14" t="s">
        <v>20</v>
      </c>
      <c r="B102" s="18" t="s">
        <v>94</v>
      </c>
      <c r="C102" s="18" t="s">
        <v>144</v>
      </c>
      <c r="D102" s="18" t="s">
        <v>210</v>
      </c>
      <c r="E102" s="18" t="s">
        <v>304</v>
      </c>
      <c r="F102" s="18" t="s">
        <v>46</v>
      </c>
      <c r="G102" s="71">
        <f>H102+I102+J102+K102</f>
        <v>1985.0908599999998</v>
      </c>
      <c r="H102" s="71">
        <f>411.64-102.03938</f>
        <v>309.60062</v>
      </c>
      <c r="I102" s="71">
        <f>492.36+102.03938+4.87097+80.00954</f>
        <v>679.27989</v>
      </c>
      <c r="J102" s="71">
        <v>489.91105</v>
      </c>
      <c r="K102" s="71">
        <f>508.78941-2.49011</f>
        <v>506.29929999999996</v>
      </c>
      <c r="L102" s="72"/>
      <c r="M102" s="72"/>
    </row>
    <row r="103" spans="1:13" ht="24" customHeight="1">
      <c r="A103" s="21" t="s">
        <v>211</v>
      </c>
      <c r="B103" s="20" t="s">
        <v>94</v>
      </c>
      <c r="C103" s="20" t="s">
        <v>144</v>
      </c>
      <c r="D103" s="20" t="s">
        <v>212</v>
      </c>
      <c r="E103" s="20" t="s">
        <v>148</v>
      </c>
      <c r="F103" s="20"/>
      <c r="G103" s="79">
        <f>H103+I103+J103+K103</f>
        <v>1078.65907</v>
      </c>
      <c r="H103" s="79">
        <f>H104+H106+H111</f>
        <v>253.12533999999997</v>
      </c>
      <c r="I103" s="79">
        <f>I104+I106+I113</f>
        <v>248.66998</v>
      </c>
      <c r="J103" s="79">
        <f>J104+J106+J113</f>
        <v>270.94094</v>
      </c>
      <c r="K103" s="79">
        <f>K104+K106+K113</f>
        <v>305.92280999999997</v>
      </c>
      <c r="L103" s="72"/>
      <c r="M103" s="72"/>
    </row>
    <row r="104" spans="1:13" ht="11.25" customHeight="1">
      <c r="A104" s="14" t="s">
        <v>22</v>
      </c>
      <c r="B104" s="18" t="s">
        <v>94</v>
      </c>
      <c r="C104" s="18" t="s">
        <v>144</v>
      </c>
      <c r="D104" s="18" t="s">
        <v>212</v>
      </c>
      <c r="E104" s="18" t="s">
        <v>115</v>
      </c>
      <c r="F104" s="18" t="s">
        <v>50</v>
      </c>
      <c r="G104" s="71">
        <f>H104+I104+J104+K104</f>
        <v>280.66369</v>
      </c>
      <c r="H104" s="94">
        <f>62.38-18.5089</f>
        <v>43.8711</v>
      </c>
      <c r="I104" s="71">
        <f>77.98+18.5089-29.72678</f>
        <v>66.76212</v>
      </c>
      <c r="J104" s="71">
        <f>77.98+29.72678-24.92044</f>
        <v>82.78634000000001</v>
      </c>
      <c r="K104" s="71">
        <f>93.56+24.92044-31.23631</f>
        <v>87.24413</v>
      </c>
      <c r="L104" s="72"/>
      <c r="M104" s="72"/>
    </row>
    <row r="105" spans="1:13" ht="11.25" customHeight="1" hidden="1">
      <c r="A105" s="14" t="s">
        <v>23</v>
      </c>
      <c r="B105" s="18" t="s">
        <v>94</v>
      </c>
      <c r="C105" s="18" t="s">
        <v>144</v>
      </c>
      <c r="D105" s="18" t="s">
        <v>212</v>
      </c>
      <c r="E105" s="18" t="s">
        <v>115</v>
      </c>
      <c r="F105" s="18" t="s">
        <v>51</v>
      </c>
      <c r="G105" s="71">
        <f>I105+J105+K105+H105</f>
        <v>0</v>
      </c>
      <c r="H105" s="71">
        <v>0</v>
      </c>
      <c r="I105" s="71">
        <v>0</v>
      </c>
      <c r="J105" s="71">
        <v>0</v>
      </c>
      <c r="K105" s="71">
        <v>0</v>
      </c>
      <c r="L105" s="72"/>
      <c r="M105" s="72"/>
    </row>
    <row r="106" spans="1:13" ht="11.25" customHeight="1">
      <c r="A106" s="14" t="s">
        <v>24</v>
      </c>
      <c r="B106" s="18" t="s">
        <v>94</v>
      </c>
      <c r="C106" s="18" t="s">
        <v>144</v>
      </c>
      <c r="D106" s="18" t="s">
        <v>212</v>
      </c>
      <c r="E106" s="18" t="s">
        <v>115</v>
      </c>
      <c r="F106" s="18" t="s">
        <v>52</v>
      </c>
      <c r="G106" s="71">
        <f>H106+I106+J106+K106</f>
        <v>515.59746</v>
      </c>
      <c r="H106" s="71">
        <f>H108+H109+H110</f>
        <v>164.39942</v>
      </c>
      <c r="I106" s="71">
        <f>I108+I109+I110</f>
        <v>118.38163</v>
      </c>
      <c r="J106" s="71">
        <f>J108+J109+J110</f>
        <v>74.47736999999998</v>
      </c>
      <c r="K106" s="71">
        <f>K108+K109+K110</f>
        <v>158.33903999999998</v>
      </c>
      <c r="L106" s="72"/>
      <c r="M106" s="72"/>
    </row>
    <row r="107" spans="1:13" ht="11.25" customHeight="1">
      <c r="A107" s="14" t="s">
        <v>25</v>
      </c>
      <c r="B107" s="18" t="s">
        <v>94</v>
      </c>
      <c r="C107" s="18" t="s">
        <v>144</v>
      </c>
      <c r="D107" s="18" t="s">
        <v>212</v>
      </c>
      <c r="E107" s="18" t="s">
        <v>115</v>
      </c>
      <c r="F107" s="18"/>
      <c r="G107" s="71"/>
      <c r="H107" s="71"/>
      <c r="I107" s="71"/>
      <c r="J107" s="71"/>
      <c r="K107" s="71"/>
      <c r="L107" s="72"/>
      <c r="M107" s="72"/>
    </row>
    <row r="108" spans="1:13" ht="11.25" customHeight="1">
      <c r="A108" s="14" t="s">
        <v>26</v>
      </c>
      <c r="B108" s="18" t="s">
        <v>94</v>
      </c>
      <c r="C108" s="18" t="s">
        <v>144</v>
      </c>
      <c r="D108" s="18" t="s">
        <v>212</v>
      </c>
      <c r="E108" s="18" t="s">
        <v>115</v>
      </c>
      <c r="F108" s="18" t="s">
        <v>52</v>
      </c>
      <c r="G108" s="71">
        <f>H108+J108+I108+K108</f>
        <v>369.66462</v>
      </c>
      <c r="H108" s="71">
        <f>81.18+49.15883</f>
        <v>130.33883</v>
      </c>
      <c r="I108" s="71">
        <f>54.30803+32.58526</f>
        <v>86.89329000000001</v>
      </c>
      <c r="J108" s="71">
        <v>40.58298</v>
      </c>
      <c r="K108" s="71">
        <f>221.25314-32.58526-40.58298-36.23538</f>
        <v>111.84952000000001</v>
      </c>
      <c r="L108" s="72"/>
      <c r="M108" s="72"/>
    </row>
    <row r="109" spans="1:13" ht="11.25" customHeight="1">
      <c r="A109" s="14" t="s">
        <v>27</v>
      </c>
      <c r="B109" s="18" t="s">
        <v>94</v>
      </c>
      <c r="C109" s="18" t="s">
        <v>144</v>
      </c>
      <c r="D109" s="18" t="s">
        <v>212</v>
      </c>
      <c r="E109" s="18" t="s">
        <v>115</v>
      </c>
      <c r="F109" s="18" t="s">
        <v>52</v>
      </c>
      <c r="G109" s="71">
        <f>H109+I109+J109+K109</f>
        <v>141.34453999999997</v>
      </c>
      <c r="H109" s="71">
        <f>48.58-15.27419</f>
        <v>33.305809999999994</v>
      </c>
      <c r="I109" s="71">
        <f>60.73+15.27419-45.64802</f>
        <v>30.35616999999999</v>
      </c>
      <c r="J109" s="71">
        <f>60.73+45.64802-73.63744</f>
        <v>32.740579999999994</v>
      </c>
      <c r="K109" s="71">
        <f>72.86+73.63744-101.55546</f>
        <v>44.94197999999999</v>
      </c>
      <c r="L109" s="72"/>
      <c r="M109" s="72"/>
    </row>
    <row r="110" spans="1:13" ht="11.25" customHeight="1">
      <c r="A110" s="14" t="s">
        <v>28</v>
      </c>
      <c r="B110" s="18" t="s">
        <v>94</v>
      </c>
      <c r="C110" s="18" t="s">
        <v>144</v>
      </c>
      <c r="D110" s="18" t="s">
        <v>212</v>
      </c>
      <c r="E110" s="18" t="s">
        <v>115</v>
      </c>
      <c r="F110" s="18" t="s">
        <v>52</v>
      </c>
      <c r="G110" s="94">
        <f>H110+I110+J110+K110</f>
        <v>4.588299999999999</v>
      </c>
      <c r="H110" s="71">
        <f>1-0.24522</f>
        <v>0.75478</v>
      </c>
      <c r="I110" s="71">
        <f>1.15+0.24522-0.26305</f>
        <v>1.13217</v>
      </c>
      <c r="J110" s="71">
        <f>1.15+0.26305-0.25924</f>
        <v>1.15381</v>
      </c>
      <c r="K110" s="71">
        <f>1.3+0.25924-0.0117</f>
        <v>1.54754</v>
      </c>
      <c r="L110" s="72"/>
      <c r="M110" s="72"/>
    </row>
    <row r="111" spans="1:13" ht="11.25" customHeight="1">
      <c r="A111" s="14" t="s">
        <v>29</v>
      </c>
      <c r="B111" s="18" t="s">
        <v>94</v>
      </c>
      <c r="C111" s="18" t="s">
        <v>144</v>
      </c>
      <c r="D111" s="18" t="s">
        <v>212</v>
      </c>
      <c r="E111" s="18" t="s">
        <v>115</v>
      </c>
      <c r="F111" s="18" t="s">
        <v>53</v>
      </c>
      <c r="G111" s="71">
        <f>H111+I111+J111+K111</f>
        <v>282.39792</v>
      </c>
      <c r="H111" s="71">
        <f>H113+H114+H115</f>
        <v>44.85481999999999</v>
      </c>
      <c r="I111" s="71">
        <f>I113+I114+I115</f>
        <v>63.52623</v>
      </c>
      <c r="J111" s="71">
        <f>J113+J114+J115</f>
        <v>113.67723000000001</v>
      </c>
      <c r="K111" s="71">
        <f>K113+K114+K115</f>
        <v>60.339639999999996</v>
      </c>
      <c r="L111" s="72"/>
      <c r="M111" s="72"/>
    </row>
    <row r="112" spans="1:19" ht="11.25" customHeight="1">
      <c r="A112" s="14" t="s">
        <v>25</v>
      </c>
      <c r="B112" s="18" t="s">
        <v>94</v>
      </c>
      <c r="C112" s="18" t="s">
        <v>144</v>
      </c>
      <c r="D112" s="18" t="s">
        <v>212</v>
      </c>
      <c r="E112" s="18" t="s">
        <v>115</v>
      </c>
      <c r="F112" s="18"/>
      <c r="G112" s="71"/>
      <c r="H112" s="71"/>
      <c r="I112" s="71"/>
      <c r="J112" s="71"/>
      <c r="K112" s="71"/>
      <c r="L112" s="72"/>
      <c r="M112" s="72"/>
      <c r="S112" s="73"/>
    </row>
    <row r="113" spans="1:13" ht="11.25" customHeight="1">
      <c r="A113" s="14" t="s">
        <v>30</v>
      </c>
      <c r="B113" s="18" t="s">
        <v>94</v>
      </c>
      <c r="C113" s="18" t="s">
        <v>144</v>
      </c>
      <c r="D113" s="18" t="s">
        <v>212</v>
      </c>
      <c r="E113" s="18" t="s">
        <v>115</v>
      </c>
      <c r="F113" s="18" t="s">
        <v>53</v>
      </c>
      <c r="G113" s="71">
        <f>H113+I113+J113+K113</f>
        <v>282.39792</v>
      </c>
      <c r="H113" s="71">
        <f>184.32-139.46518</f>
        <v>44.85481999999999</v>
      </c>
      <c r="I113" s="71">
        <f>105.4+139.46518-181.33895</f>
        <v>63.52623</v>
      </c>
      <c r="J113" s="71">
        <f>181.33895-24.73401-2.76-40.16771</f>
        <v>113.67723000000001</v>
      </c>
      <c r="K113" s="71">
        <f>131.88+40.16771-77.71888-57.917-56.55107+80.47888</f>
        <v>60.339639999999996</v>
      </c>
      <c r="L113" s="72"/>
      <c r="M113" s="72"/>
    </row>
    <row r="114" spans="1:19" ht="11.25" customHeight="1" hidden="1">
      <c r="A114" s="14" t="s">
        <v>31</v>
      </c>
      <c r="B114" s="18" t="s">
        <v>94</v>
      </c>
      <c r="C114" s="18" t="s">
        <v>144</v>
      </c>
      <c r="D114" s="18" t="s">
        <v>212</v>
      </c>
      <c r="E114" s="18" t="s">
        <v>115</v>
      </c>
      <c r="F114" s="18" t="s">
        <v>53</v>
      </c>
      <c r="G114" s="71">
        <f>J114+K114</f>
        <v>0</v>
      </c>
      <c r="H114" s="71"/>
      <c r="I114" s="71"/>
      <c r="J114" s="71"/>
      <c r="K114" s="71"/>
      <c r="L114" s="72"/>
      <c r="M114" s="72"/>
      <c r="R114" s="61"/>
      <c r="S114" s="61"/>
    </row>
    <row r="115" spans="1:13" ht="11.25" customHeight="1" hidden="1">
      <c r="A115" s="14" t="s">
        <v>106</v>
      </c>
      <c r="B115" s="18" t="s">
        <v>94</v>
      </c>
      <c r="C115" s="18" t="s">
        <v>144</v>
      </c>
      <c r="D115" s="18" t="s">
        <v>212</v>
      </c>
      <c r="E115" s="18" t="s">
        <v>115</v>
      </c>
      <c r="F115" s="18" t="s">
        <v>53</v>
      </c>
      <c r="G115" s="71">
        <f aca="true" t="shared" si="9" ref="G115:G122">H115+I115+J115+K115</f>
        <v>0</v>
      </c>
      <c r="H115" s="71"/>
      <c r="I115" s="71"/>
      <c r="J115" s="71"/>
      <c r="K115" s="71"/>
      <c r="L115" s="72"/>
      <c r="M115" s="72"/>
    </row>
    <row r="116" spans="1:13" ht="24.75" customHeight="1">
      <c r="A116" s="21" t="s">
        <v>222</v>
      </c>
      <c r="B116" s="20" t="s">
        <v>94</v>
      </c>
      <c r="C116" s="20" t="s">
        <v>144</v>
      </c>
      <c r="D116" s="20" t="s">
        <v>213</v>
      </c>
      <c r="E116" s="20" t="s">
        <v>148</v>
      </c>
      <c r="F116" s="20"/>
      <c r="G116" s="79">
        <f t="shared" si="9"/>
        <v>1011.9578899999999</v>
      </c>
      <c r="H116" s="102">
        <f>H117</f>
        <v>205.653</v>
      </c>
      <c r="I116" s="79">
        <f>I117</f>
        <v>292.54355999999996</v>
      </c>
      <c r="J116" s="79">
        <f>J117</f>
        <v>234.58745</v>
      </c>
      <c r="K116" s="79">
        <f>K117</f>
        <v>279.17387999999994</v>
      </c>
      <c r="L116" s="72"/>
      <c r="M116" s="72"/>
    </row>
    <row r="117" spans="1:13" ht="11.25" customHeight="1">
      <c r="A117" s="14" t="s">
        <v>32</v>
      </c>
      <c r="B117" s="18" t="s">
        <v>94</v>
      </c>
      <c r="C117" s="18" t="s">
        <v>144</v>
      </c>
      <c r="D117" s="18" t="s">
        <v>213</v>
      </c>
      <c r="E117" s="18" t="s">
        <v>115</v>
      </c>
      <c r="F117" s="18" t="s">
        <v>54</v>
      </c>
      <c r="G117" s="71">
        <f t="shared" si="9"/>
        <v>1011.9578899999999</v>
      </c>
      <c r="H117" s="97">
        <f>118.94+86.713</f>
        <v>205.653</v>
      </c>
      <c r="I117" s="71">
        <f>135.546+87.412+6.14198+63.44358</f>
        <v>292.54355999999996</v>
      </c>
      <c r="J117" s="71">
        <f>75.33345+87.552+11.34+24.73401+32.86799+2.76</f>
        <v>234.58745</v>
      </c>
      <c r="K117" s="71">
        <f>77.71888+57.917+224.01688-80.47888</f>
        <v>279.17387999999994</v>
      </c>
      <c r="L117" s="72"/>
      <c r="M117" s="72"/>
    </row>
    <row r="118" spans="1:13" ht="13.5" customHeight="1">
      <c r="A118" s="21" t="s">
        <v>214</v>
      </c>
      <c r="B118" s="20" t="s">
        <v>94</v>
      </c>
      <c r="C118" s="20" t="s">
        <v>144</v>
      </c>
      <c r="D118" s="20" t="s">
        <v>216</v>
      </c>
      <c r="E118" s="20" t="s">
        <v>215</v>
      </c>
      <c r="F118" s="20"/>
      <c r="G118" s="102">
        <f t="shared" si="9"/>
        <v>998.415</v>
      </c>
      <c r="H118" s="102">
        <f>H119+H120+H121</f>
        <v>250.638</v>
      </c>
      <c r="I118" s="102">
        <f>I119+I120+I121</f>
        <v>498.35600000000005</v>
      </c>
      <c r="J118" s="81">
        <f>J119+J120+J121</f>
        <v>0</v>
      </c>
      <c r="K118" s="102">
        <f>K119+K120+K121</f>
        <v>249.42099999999996</v>
      </c>
      <c r="L118" s="72"/>
      <c r="M118" s="72"/>
    </row>
    <row r="119" spans="1:13" ht="11.25" customHeight="1">
      <c r="A119" s="14" t="s">
        <v>33</v>
      </c>
      <c r="B119" s="18" t="s">
        <v>94</v>
      </c>
      <c r="C119" s="18" t="s">
        <v>144</v>
      </c>
      <c r="D119" s="18" t="s">
        <v>216</v>
      </c>
      <c r="E119" s="18" t="s">
        <v>126</v>
      </c>
      <c r="F119" s="18" t="s">
        <v>55</v>
      </c>
      <c r="G119" s="97">
        <f t="shared" si="9"/>
        <v>987.675</v>
      </c>
      <c r="H119" s="97">
        <f>388.92276-140.77476</f>
        <v>248.148</v>
      </c>
      <c r="I119" s="97">
        <f>316.85+140.77476-0.25-178.35823+214.08947</f>
        <v>493.10600000000005</v>
      </c>
      <c r="J119" s="83">
        <f>208.39-54.08947-154.30053</f>
        <v>0</v>
      </c>
      <c r="K119" s="97">
        <f>872.23-160-570.903+154.30053-0.5-40.56666-3.9024-4.23747</f>
        <v>246.42099999999996</v>
      </c>
      <c r="L119" s="72"/>
      <c r="M119" s="72"/>
    </row>
    <row r="120" spans="1:13" ht="11.25" customHeight="1">
      <c r="A120" s="14" t="s">
        <v>33</v>
      </c>
      <c r="B120" s="18" t="s">
        <v>94</v>
      </c>
      <c r="C120" s="18" t="s">
        <v>144</v>
      </c>
      <c r="D120" s="18" t="s">
        <v>216</v>
      </c>
      <c r="E120" s="18" t="s">
        <v>145</v>
      </c>
      <c r="F120" s="18" t="s">
        <v>55</v>
      </c>
      <c r="G120" s="98">
        <f t="shared" si="9"/>
        <v>9.99</v>
      </c>
      <c r="H120" s="98">
        <f>2.6-0.11</f>
        <v>2.49</v>
      </c>
      <c r="I120" s="83">
        <f>2.6+0.11+2.29</f>
        <v>5</v>
      </c>
      <c r="J120" s="83">
        <f>2.6-2.29-0.31</f>
        <v>0</v>
      </c>
      <c r="K120" s="84">
        <f>2.74+0.31-0.55</f>
        <v>2.5</v>
      </c>
      <c r="L120" s="72"/>
      <c r="M120" s="72"/>
    </row>
    <row r="121" spans="1:13" ht="11.25" customHeight="1">
      <c r="A121" s="14" t="s">
        <v>33</v>
      </c>
      <c r="B121" s="18" t="s">
        <v>94</v>
      </c>
      <c r="C121" s="18" t="s">
        <v>144</v>
      </c>
      <c r="D121" s="18" t="s">
        <v>216</v>
      </c>
      <c r="E121" s="18" t="s">
        <v>308</v>
      </c>
      <c r="F121" s="18" t="s">
        <v>55</v>
      </c>
      <c r="G121" s="98">
        <f>H121+I121+J121+K121</f>
        <v>0.75</v>
      </c>
      <c r="H121" s="83">
        <v>0</v>
      </c>
      <c r="I121" s="98">
        <v>0.25</v>
      </c>
      <c r="J121" s="83">
        <v>0</v>
      </c>
      <c r="K121" s="84">
        <v>0.5</v>
      </c>
      <c r="L121" s="72"/>
      <c r="M121" s="72"/>
    </row>
    <row r="122" spans="1:13" ht="13.5" customHeight="1">
      <c r="A122" s="21" t="s">
        <v>223</v>
      </c>
      <c r="B122" s="20" t="s">
        <v>94</v>
      </c>
      <c r="C122" s="20" t="s">
        <v>144</v>
      </c>
      <c r="D122" s="20" t="s">
        <v>217</v>
      </c>
      <c r="E122" s="20" t="s">
        <v>148</v>
      </c>
      <c r="F122" s="20"/>
      <c r="G122" s="102">
        <f t="shared" si="9"/>
        <v>94.316</v>
      </c>
      <c r="H122" s="81">
        <f>H123</f>
        <v>0</v>
      </c>
      <c r="I122" s="80">
        <f>I123</f>
        <v>79.95</v>
      </c>
      <c r="J122" s="102">
        <f>J123</f>
        <v>5.866</v>
      </c>
      <c r="K122" s="82">
        <f>K123</f>
        <v>8.5</v>
      </c>
      <c r="L122" s="72"/>
      <c r="M122" s="72"/>
    </row>
    <row r="123" spans="1:13" ht="11.25" customHeight="1">
      <c r="A123" s="13" t="s">
        <v>36</v>
      </c>
      <c r="B123" s="18" t="s">
        <v>94</v>
      </c>
      <c r="C123" s="18" t="s">
        <v>144</v>
      </c>
      <c r="D123" s="18" t="s">
        <v>217</v>
      </c>
      <c r="E123" s="18" t="s">
        <v>115</v>
      </c>
      <c r="F123" s="18" t="s">
        <v>58</v>
      </c>
      <c r="G123" s="97">
        <f>J123+K123+H123+I123</f>
        <v>94.316</v>
      </c>
      <c r="H123" s="83">
        <f>50-50</f>
        <v>0</v>
      </c>
      <c r="I123" s="98">
        <f>69.45+10.5</f>
        <v>79.95</v>
      </c>
      <c r="J123" s="97">
        <v>5.866</v>
      </c>
      <c r="K123" s="84">
        <f>30.55-10.5-5.866-5.684</f>
        <v>8.5</v>
      </c>
      <c r="L123" s="72"/>
      <c r="M123" s="72"/>
    </row>
    <row r="124" spans="1:13" ht="24" customHeight="1">
      <c r="A124" s="21" t="s">
        <v>218</v>
      </c>
      <c r="B124" s="20" t="s">
        <v>94</v>
      </c>
      <c r="C124" s="20" t="s">
        <v>144</v>
      </c>
      <c r="D124" s="20" t="s">
        <v>219</v>
      </c>
      <c r="E124" s="20" t="s">
        <v>148</v>
      </c>
      <c r="F124" s="20" t="s">
        <v>59</v>
      </c>
      <c r="G124" s="80">
        <f>H124+I124+J124+K124</f>
        <v>234.12</v>
      </c>
      <c r="H124" s="79">
        <f>H125</f>
        <v>33.90136</v>
      </c>
      <c r="I124" s="100">
        <f>I125</f>
        <v>50.7425</v>
      </c>
      <c r="J124" s="102">
        <f>J125</f>
        <v>60.306</v>
      </c>
      <c r="K124" s="79">
        <f>K125</f>
        <v>89.17014</v>
      </c>
      <c r="L124" s="72"/>
      <c r="M124" s="72"/>
    </row>
    <row r="125" spans="1:13" ht="11.25" customHeight="1">
      <c r="A125" s="13" t="s">
        <v>38</v>
      </c>
      <c r="B125" s="18" t="s">
        <v>94</v>
      </c>
      <c r="C125" s="18" t="s">
        <v>144</v>
      </c>
      <c r="D125" s="18" t="s">
        <v>219</v>
      </c>
      <c r="E125" s="18" t="s">
        <v>115</v>
      </c>
      <c r="F125" s="18" t="s">
        <v>59</v>
      </c>
      <c r="G125" s="98">
        <f>SUM(H125:K125)</f>
        <v>234.12</v>
      </c>
      <c r="H125" s="71">
        <f>60.1-26.19864</f>
        <v>33.90136</v>
      </c>
      <c r="I125" s="94">
        <f>62.7+26.19864-38.15614</f>
        <v>50.7425</v>
      </c>
      <c r="J125" s="97">
        <f>12.7+38.15614+9.44986</f>
        <v>60.306</v>
      </c>
      <c r="K125" s="71">
        <f>115.3-9.44986-20.68+4</f>
        <v>89.17014</v>
      </c>
      <c r="L125" s="72"/>
      <c r="M125" s="72"/>
    </row>
    <row r="126" spans="1:13" ht="11.25" customHeight="1">
      <c r="A126" s="21" t="s">
        <v>221</v>
      </c>
      <c r="B126" s="20" t="s">
        <v>94</v>
      </c>
      <c r="C126" s="20" t="s">
        <v>144</v>
      </c>
      <c r="D126" s="20" t="s">
        <v>220</v>
      </c>
      <c r="E126" s="20" t="s">
        <v>148</v>
      </c>
      <c r="F126" s="20"/>
      <c r="G126" s="79">
        <f>SUM(H126:K126)</f>
        <v>169.30267000000003</v>
      </c>
      <c r="H126" s="100">
        <f>H127</f>
        <v>31.841400000000007</v>
      </c>
      <c r="I126" s="102">
        <f>I127</f>
        <v>55.783</v>
      </c>
      <c r="J126" s="82">
        <f>J127</f>
        <v>14.4</v>
      </c>
      <c r="K126" s="79">
        <f>K127</f>
        <v>67.27827</v>
      </c>
      <c r="L126" s="72"/>
      <c r="M126" s="72"/>
    </row>
    <row r="127" spans="1:13" ht="11.25" customHeight="1">
      <c r="A127" s="13" t="s">
        <v>104</v>
      </c>
      <c r="B127" s="18" t="s">
        <v>94</v>
      </c>
      <c r="C127" s="18" t="s">
        <v>144</v>
      </c>
      <c r="D127" s="18" t="s">
        <v>220</v>
      </c>
      <c r="E127" s="18" t="s">
        <v>115</v>
      </c>
      <c r="F127" s="18" t="s">
        <v>59</v>
      </c>
      <c r="G127" s="71">
        <f>SUM(H127:K127)</f>
        <v>169.30267000000003</v>
      </c>
      <c r="H127" s="94">
        <f>70.4-38.5586</f>
        <v>31.841400000000007</v>
      </c>
      <c r="I127" s="97">
        <f>37+38.5586-19.7756</f>
        <v>55.783</v>
      </c>
      <c r="J127" s="84">
        <f>19.7756-5.3756</f>
        <v>14.4</v>
      </c>
      <c r="K127" s="71">
        <f>39+5.3756+10.3194+12.58327</f>
        <v>67.27827</v>
      </c>
      <c r="L127" s="72"/>
      <c r="M127" s="72"/>
    </row>
    <row r="128" spans="1:13" ht="11.25" customHeight="1">
      <c r="A128" s="21" t="s">
        <v>306</v>
      </c>
      <c r="B128" s="20" t="s">
        <v>94</v>
      </c>
      <c r="C128" s="20" t="s">
        <v>144</v>
      </c>
      <c r="D128" s="20" t="s">
        <v>307</v>
      </c>
      <c r="E128" s="20" t="s">
        <v>215</v>
      </c>
      <c r="F128" s="20"/>
      <c r="G128" s="102">
        <f>SUM(H128:K128)</f>
        <v>14.817</v>
      </c>
      <c r="H128" s="102">
        <f>H129</f>
        <v>14.817</v>
      </c>
      <c r="I128" s="81">
        <f>I129</f>
        <v>0</v>
      </c>
      <c r="J128" s="81">
        <f>J129</f>
        <v>0</v>
      </c>
      <c r="K128" s="81">
        <f>K129</f>
        <v>0</v>
      </c>
      <c r="L128" s="72"/>
      <c r="M128" s="72"/>
    </row>
    <row r="129" spans="1:13" ht="11.25" customHeight="1">
      <c r="A129" s="14" t="s">
        <v>33</v>
      </c>
      <c r="B129" s="18" t="s">
        <v>94</v>
      </c>
      <c r="C129" s="18" t="s">
        <v>144</v>
      </c>
      <c r="D129" s="18" t="s">
        <v>307</v>
      </c>
      <c r="E129" s="18" t="s">
        <v>308</v>
      </c>
      <c r="F129" s="18" t="s">
        <v>55</v>
      </c>
      <c r="G129" s="97">
        <f>SUM(H129:K129)</f>
        <v>14.817</v>
      </c>
      <c r="H129" s="97">
        <f>5+9.817</f>
        <v>14.817</v>
      </c>
      <c r="I129" s="81">
        <f>5-5</f>
        <v>0</v>
      </c>
      <c r="J129" s="81">
        <f>5-4.817-0.183</f>
        <v>0</v>
      </c>
      <c r="K129" s="81">
        <f>0.183-0.183</f>
        <v>0</v>
      </c>
      <c r="L129" s="72"/>
      <c r="M129" s="72"/>
    </row>
    <row r="130" spans="1:13" ht="44.25" customHeight="1">
      <c r="A130" s="21" t="s">
        <v>409</v>
      </c>
      <c r="B130" s="20" t="s">
        <v>94</v>
      </c>
      <c r="C130" s="20" t="s">
        <v>144</v>
      </c>
      <c r="D130" s="20" t="s">
        <v>410</v>
      </c>
      <c r="E130" s="20" t="s">
        <v>119</v>
      </c>
      <c r="F130" s="20" t="s">
        <v>43</v>
      </c>
      <c r="G130" s="84">
        <f>H130+I130+J130+K130</f>
        <v>52.3</v>
      </c>
      <c r="H130" s="83">
        <f>H131+H132</f>
        <v>0</v>
      </c>
      <c r="I130" s="98">
        <f>I131+I132</f>
        <v>6.529999999999999</v>
      </c>
      <c r="J130" s="71">
        <f>J131+J132</f>
        <v>19.62456</v>
      </c>
      <c r="K130" s="71">
        <f>K131+K132</f>
        <v>26.14544</v>
      </c>
      <c r="L130" s="72"/>
      <c r="M130" s="72"/>
    </row>
    <row r="131" spans="1:13" ht="11.25" customHeight="1">
      <c r="A131" s="14" t="s">
        <v>18</v>
      </c>
      <c r="B131" s="18" t="s">
        <v>94</v>
      </c>
      <c r="C131" s="18" t="s">
        <v>144</v>
      </c>
      <c r="D131" s="18" t="s">
        <v>410</v>
      </c>
      <c r="E131" s="18" t="s">
        <v>120</v>
      </c>
      <c r="F131" s="18" t="s">
        <v>304</v>
      </c>
      <c r="G131" s="98">
        <f>H131+I131+J131+K131</f>
        <v>40.17</v>
      </c>
      <c r="H131" s="83">
        <v>0</v>
      </c>
      <c r="I131" s="98">
        <v>5.02</v>
      </c>
      <c r="J131" s="97">
        <v>15.068</v>
      </c>
      <c r="K131" s="97">
        <v>20.082</v>
      </c>
      <c r="L131" s="72"/>
      <c r="M131" s="72"/>
    </row>
    <row r="132" spans="1:13" ht="11.25" customHeight="1">
      <c r="A132" s="14" t="s">
        <v>20</v>
      </c>
      <c r="B132" s="18" t="s">
        <v>94</v>
      </c>
      <c r="C132" s="18" t="s">
        <v>144</v>
      </c>
      <c r="D132" s="18" t="s">
        <v>410</v>
      </c>
      <c r="E132" s="18" t="s">
        <v>304</v>
      </c>
      <c r="F132" s="18" t="s">
        <v>46</v>
      </c>
      <c r="G132" s="98">
        <f>H132+I132+J132+K132</f>
        <v>12.129999999999999</v>
      </c>
      <c r="H132" s="83">
        <v>0</v>
      </c>
      <c r="I132" s="98">
        <v>1.51</v>
      </c>
      <c r="J132" s="71">
        <v>4.55656</v>
      </c>
      <c r="K132" s="71">
        <v>6.06344</v>
      </c>
      <c r="L132" s="72"/>
      <c r="M132" s="72"/>
    </row>
    <row r="133" spans="1:13" ht="11.25" customHeight="1" hidden="1">
      <c r="A133" s="14"/>
      <c r="B133" s="18"/>
      <c r="C133" s="18"/>
      <c r="D133" s="18"/>
      <c r="E133" s="18"/>
      <c r="F133" s="18"/>
      <c r="G133" s="71"/>
      <c r="H133" s="71"/>
      <c r="I133" s="71"/>
      <c r="J133" s="71"/>
      <c r="K133" s="71"/>
      <c r="L133" s="72"/>
      <c r="M133" s="72"/>
    </row>
    <row r="134" spans="1:13" ht="11.25" customHeight="1" hidden="1">
      <c r="A134" s="14"/>
      <c r="B134" s="18"/>
      <c r="C134" s="18"/>
      <c r="D134" s="18"/>
      <c r="E134" s="18"/>
      <c r="F134" s="18"/>
      <c r="G134" s="71"/>
      <c r="H134" s="71"/>
      <c r="I134" s="71"/>
      <c r="J134" s="71"/>
      <c r="K134" s="71"/>
      <c r="L134" s="72"/>
      <c r="M134" s="72"/>
    </row>
    <row r="135" spans="1:13" ht="11.25" customHeight="1" hidden="1">
      <c r="A135" s="14"/>
      <c r="B135" s="18"/>
      <c r="C135" s="18"/>
      <c r="D135" s="18"/>
      <c r="E135" s="18"/>
      <c r="F135" s="18"/>
      <c r="G135" s="71"/>
      <c r="H135" s="71"/>
      <c r="I135" s="71"/>
      <c r="J135" s="71"/>
      <c r="K135" s="71"/>
      <c r="L135" s="72"/>
      <c r="M135" s="72"/>
    </row>
    <row r="136" spans="1:13" ht="36" customHeight="1">
      <c r="A136" s="16" t="s">
        <v>277</v>
      </c>
      <c r="B136" s="17" t="s">
        <v>94</v>
      </c>
      <c r="C136" s="17" t="s">
        <v>144</v>
      </c>
      <c r="D136" s="17" t="s">
        <v>278</v>
      </c>
      <c r="E136" s="17" t="s">
        <v>68</v>
      </c>
      <c r="F136" s="17"/>
      <c r="G136" s="75">
        <f aca="true" t="shared" si="10" ref="G136:G145">H136+I136+J136+K136</f>
        <v>6.96335</v>
      </c>
      <c r="H136" s="105">
        <f>H137+H138+H139</f>
        <v>0</v>
      </c>
      <c r="I136" s="105">
        <f>I137+I138+I139</f>
        <v>0</v>
      </c>
      <c r="J136" s="75">
        <f>J137+J138+J139</f>
        <v>1.46304</v>
      </c>
      <c r="K136" s="75">
        <f>K137+K138+K139</f>
        <v>5.50031</v>
      </c>
      <c r="L136" s="72"/>
      <c r="M136" s="72"/>
    </row>
    <row r="137" spans="1:13" ht="11.25" customHeight="1">
      <c r="A137" s="13" t="s">
        <v>24</v>
      </c>
      <c r="B137" s="18" t="s">
        <v>94</v>
      </c>
      <c r="C137" s="18" t="s">
        <v>144</v>
      </c>
      <c r="D137" s="18" t="s">
        <v>278</v>
      </c>
      <c r="E137" s="18" t="s">
        <v>115</v>
      </c>
      <c r="F137" s="18" t="s">
        <v>276</v>
      </c>
      <c r="G137" s="71">
        <f t="shared" si="10"/>
        <v>1.46304</v>
      </c>
      <c r="H137" s="83">
        <f>0.3973-0.3973</f>
        <v>0</v>
      </c>
      <c r="I137" s="83">
        <f>0.3973-0.3973</f>
        <v>0</v>
      </c>
      <c r="J137" s="71">
        <f>1.4+0.3973-0.33426</f>
        <v>1.46304</v>
      </c>
      <c r="K137" s="83">
        <f>0.33426-0.33426</f>
        <v>0</v>
      </c>
      <c r="L137" s="72"/>
      <c r="M137" s="72"/>
    </row>
    <row r="138" spans="1:13" ht="11.25" customHeight="1">
      <c r="A138" s="13" t="s">
        <v>149</v>
      </c>
      <c r="B138" s="18" t="s">
        <v>94</v>
      </c>
      <c r="C138" s="18" t="s">
        <v>144</v>
      </c>
      <c r="D138" s="18" t="s">
        <v>278</v>
      </c>
      <c r="E138" s="18" t="s">
        <v>115</v>
      </c>
      <c r="F138" s="18" t="s">
        <v>53</v>
      </c>
      <c r="G138" s="71">
        <f t="shared" si="10"/>
        <v>5.50031</v>
      </c>
      <c r="H138" s="83">
        <v>0</v>
      </c>
      <c r="I138" s="83">
        <f>5.8-0.29969-5.50031</f>
        <v>0</v>
      </c>
      <c r="J138" s="83">
        <f>5.50031-5.50031</f>
        <v>0</v>
      </c>
      <c r="K138" s="71">
        <v>5.50031</v>
      </c>
      <c r="L138" s="72"/>
      <c r="M138" s="72"/>
    </row>
    <row r="139" spans="1:13" ht="11.25" customHeight="1">
      <c r="A139" s="13" t="s">
        <v>32</v>
      </c>
      <c r="B139" s="18" t="s">
        <v>94</v>
      </c>
      <c r="C139" s="18" t="s">
        <v>144</v>
      </c>
      <c r="D139" s="18" t="s">
        <v>278</v>
      </c>
      <c r="E139" s="18" t="s">
        <v>115</v>
      </c>
      <c r="F139" s="18" t="s">
        <v>54</v>
      </c>
      <c r="G139" s="83">
        <f t="shared" si="10"/>
        <v>0</v>
      </c>
      <c r="H139" s="83">
        <v>0</v>
      </c>
      <c r="I139" s="83">
        <f>199.9952-199.9952</f>
        <v>0</v>
      </c>
      <c r="J139" s="83">
        <f>199.9952-199.9952</f>
        <v>0</v>
      </c>
      <c r="K139" s="83">
        <f>199.9952-199.9952</f>
        <v>0</v>
      </c>
      <c r="L139" s="72"/>
      <c r="M139" s="72"/>
    </row>
    <row r="140" spans="1:13" ht="24.75" customHeight="1" hidden="1">
      <c r="A140" s="16" t="s">
        <v>335</v>
      </c>
      <c r="B140" s="17" t="s">
        <v>94</v>
      </c>
      <c r="C140" s="17" t="s">
        <v>144</v>
      </c>
      <c r="D140" s="17" t="s">
        <v>336</v>
      </c>
      <c r="E140" s="17" t="s">
        <v>68</v>
      </c>
      <c r="F140" s="17"/>
      <c r="G140" s="75">
        <f>H140+I140+J140+K140</f>
        <v>0</v>
      </c>
      <c r="H140" s="75">
        <f>H141</f>
        <v>0</v>
      </c>
      <c r="I140" s="75">
        <f>I141</f>
        <v>0</v>
      </c>
      <c r="J140" s="75">
        <f>J141</f>
        <v>0</v>
      </c>
      <c r="K140" s="75">
        <f>K141</f>
        <v>0</v>
      </c>
      <c r="L140" s="72"/>
      <c r="M140" s="72"/>
    </row>
    <row r="141" spans="1:13" ht="11.25" customHeight="1" hidden="1">
      <c r="A141" s="13" t="s">
        <v>33</v>
      </c>
      <c r="B141" s="18" t="s">
        <v>94</v>
      </c>
      <c r="C141" s="18" t="s">
        <v>144</v>
      </c>
      <c r="D141" s="18" t="s">
        <v>336</v>
      </c>
      <c r="E141" s="18" t="s">
        <v>337</v>
      </c>
      <c r="F141" s="18" t="s">
        <v>55</v>
      </c>
      <c r="G141" s="71">
        <f>H141+I141+J141+K141</f>
        <v>0</v>
      </c>
      <c r="H141" s="71">
        <v>0</v>
      </c>
      <c r="I141" s="71">
        <v>0</v>
      </c>
      <c r="J141" s="71">
        <v>0</v>
      </c>
      <c r="K141" s="71">
        <v>0</v>
      </c>
      <c r="L141" s="72"/>
      <c r="M141" s="72"/>
    </row>
    <row r="142" spans="1:13" ht="11.25" customHeight="1" hidden="1">
      <c r="A142" s="16" t="s">
        <v>364</v>
      </c>
      <c r="B142" s="17" t="s">
        <v>94</v>
      </c>
      <c r="C142" s="17" t="s">
        <v>144</v>
      </c>
      <c r="D142" s="17" t="s">
        <v>365</v>
      </c>
      <c r="E142" s="17" t="s">
        <v>68</v>
      </c>
      <c r="F142" s="17"/>
      <c r="G142" s="75">
        <f>H142+I142+J142+K142</f>
        <v>0</v>
      </c>
      <c r="H142" s="75">
        <f>H143</f>
        <v>0</v>
      </c>
      <c r="I142" s="75">
        <f>I143</f>
        <v>0</v>
      </c>
      <c r="J142" s="75">
        <f>J143</f>
        <v>0</v>
      </c>
      <c r="K142" s="75">
        <f>K143</f>
        <v>0</v>
      </c>
      <c r="L142" s="72"/>
      <c r="M142" s="72"/>
    </row>
    <row r="143" spans="1:13" ht="11.25" customHeight="1" hidden="1">
      <c r="A143" s="13" t="s">
        <v>33</v>
      </c>
      <c r="B143" s="18" t="s">
        <v>94</v>
      </c>
      <c r="C143" s="18" t="s">
        <v>144</v>
      </c>
      <c r="D143" s="18" t="s">
        <v>365</v>
      </c>
      <c r="E143" s="18" t="s">
        <v>115</v>
      </c>
      <c r="F143" s="18" t="s">
        <v>54</v>
      </c>
      <c r="G143" s="71">
        <f>H143+I143+J143+K143</f>
        <v>0</v>
      </c>
      <c r="H143" s="71">
        <v>0</v>
      </c>
      <c r="I143" s="71">
        <v>0</v>
      </c>
      <c r="J143" s="71">
        <v>0</v>
      </c>
      <c r="K143" s="71"/>
      <c r="L143" s="72"/>
      <c r="M143" s="72"/>
    </row>
    <row r="144" spans="1:13" ht="44.25" customHeight="1">
      <c r="A144" s="16" t="s">
        <v>262</v>
      </c>
      <c r="B144" s="17" t="s">
        <v>94</v>
      </c>
      <c r="C144" s="17" t="s">
        <v>144</v>
      </c>
      <c r="D144" s="17" t="s">
        <v>261</v>
      </c>
      <c r="E144" s="17" t="s">
        <v>68</v>
      </c>
      <c r="F144" s="17"/>
      <c r="G144" s="105">
        <f t="shared" si="10"/>
        <v>243.99999999999997</v>
      </c>
      <c r="H144" s="101">
        <f>H145</f>
        <v>31.186000000000007</v>
      </c>
      <c r="I144" s="75">
        <f>I145</f>
        <v>30.717019999999962</v>
      </c>
      <c r="J144" s="75">
        <f>J145</f>
        <v>29.31787</v>
      </c>
      <c r="K144" s="75">
        <f>K145</f>
        <v>152.77911</v>
      </c>
      <c r="L144" s="72"/>
      <c r="M144" s="72"/>
    </row>
    <row r="145" spans="1:13" ht="11.25" customHeight="1">
      <c r="A145" s="13" t="s">
        <v>32</v>
      </c>
      <c r="B145" s="18" t="s">
        <v>94</v>
      </c>
      <c r="C145" s="18" t="s">
        <v>144</v>
      </c>
      <c r="D145" s="18" t="s">
        <v>261</v>
      </c>
      <c r="E145" s="18" t="s">
        <v>115</v>
      </c>
      <c r="F145" s="18" t="s">
        <v>54</v>
      </c>
      <c r="G145" s="83">
        <f t="shared" si="10"/>
        <v>243.99999999999997</v>
      </c>
      <c r="H145" s="97">
        <f>175-143.814</f>
        <v>31.186000000000007</v>
      </c>
      <c r="I145" s="71">
        <f>125+143.814-195-43.09698</f>
        <v>30.717019999999962</v>
      </c>
      <c r="J145" s="71">
        <f>125-105+43.09698-33.77911</f>
        <v>29.31787</v>
      </c>
      <c r="K145" s="71">
        <f>125-105+33.77911+99</f>
        <v>152.77911</v>
      </c>
      <c r="L145" s="72"/>
      <c r="M145" s="72"/>
    </row>
    <row r="146" spans="1:13" ht="54.75" customHeight="1">
      <c r="A146" s="16" t="s">
        <v>64</v>
      </c>
      <c r="B146" s="17" t="s">
        <v>94</v>
      </c>
      <c r="C146" s="17" t="s">
        <v>65</v>
      </c>
      <c r="D146" s="17" t="s">
        <v>175</v>
      </c>
      <c r="E146" s="17" t="s">
        <v>68</v>
      </c>
      <c r="F146" s="17"/>
      <c r="G146" s="110">
        <f>G147+G151</f>
        <v>528</v>
      </c>
      <c r="H146" s="109">
        <f>H147+H151</f>
        <v>141.2</v>
      </c>
      <c r="I146" s="109">
        <f>I147+I151</f>
        <v>135.9</v>
      </c>
      <c r="J146" s="110">
        <f>J147+J151</f>
        <v>128</v>
      </c>
      <c r="K146" s="109">
        <f>K147+K151</f>
        <v>122.9</v>
      </c>
      <c r="L146" s="70"/>
      <c r="M146" s="70"/>
    </row>
    <row r="147" spans="1:13" ht="14.25" customHeight="1">
      <c r="A147" s="13" t="s">
        <v>17</v>
      </c>
      <c r="B147" s="18" t="s">
        <v>94</v>
      </c>
      <c r="C147" s="18" t="s">
        <v>65</v>
      </c>
      <c r="D147" s="18" t="s">
        <v>175</v>
      </c>
      <c r="E147" s="18" t="s">
        <v>108</v>
      </c>
      <c r="F147" s="18" t="s">
        <v>43</v>
      </c>
      <c r="G147" s="83">
        <f>G148+G150</f>
        <v>488</v>
      </c>
      <c r="H147" s="98">
        <f>H148+H150</f>
        <v>128.38</v>
      </c>
      <c r="I147" s="98">
        <f>I148+I150</f>
        <v>117.86000000000001</v>
      </c>
      <c r="J147" s="98">
        <f>J148+J150</f>
        <v>115.23</v>
      </c>
      <c r="K147" s="98">
        <f>K148+K150</f>
        <v>126.53</v>
      </c>
      <c r="L147" s="72"/>
      <c r="M147" s="72"/>
    </row>
    <row r="148" spans="1:19" ht="15" customHeight="1">
      <c r="A148" s="14" t="s">
        <v>18</v>
      </c>
      <c r="B148" s="18" t="s">
        <v>94</v>
      </c>
      <c r="C148" s="18" t="s">
        <v>65</v>
      </c>
      <c r="D148" s="18" t="s">
        <v>175</v>
      </c>
      <c r="E148" s="18" t="s">
        <v>109</v>
      </c>
      <c r="F148" s="18" t="s">
        <v>44</v>
      </c>
      <c r="G148" s="71">
        <f>H148+I148+J148+K148</f>
        <v>374.80798</v>
      </c>
      <c r="H148" s="71">
        <f>88.5+10.10753</f>
        <v>98.60753</v>
      </c>
      <c r="I148" s="71">
        <f>88.5-10.10753+12.135</f>
        <v>90.52747000000001</v>
      </c>
      <c r="J148" s="84">
        <v>88.5</v>
      </c>
      <c r="K148" s="71">
        <f>88.5+8.67298</f>
        <v>97.17298</v>
      </c>
      <c r="L148" s="72"/>
      <c r="M148" s="72"/>
      <c r="S148" s="61"/>
    </row>
    <row r="149" spans="1:13" ht="14.25" customHeight="1" hidden="1">
      <c r="A149" s="14" t="s">
        <v>19</v>
      </c>
      <c r="B149" s="18" t="s">
        <v>94</v>
      </c>
      <c r="C149" s="18" t="s">
        <v>65</v>
      </c>
      <c r="D149" s="18" t="s">
        <v>175</v>
      </c>
      <c r="E149" s="18" t="s">
        <v>114</v>
      </c>
      <c r="F149" s="18" t="s">
        <v>45</v>
      </c>
      <c r="G149" s="71"/>
      <c r="H149" s="71"/>
      <c r="I149" s="71"/>
      <c r="J149" s="98"/>
      <c r="K149" s="71"/>
      <c r="L149" s="72"/>
      <c r="M149" s="72"/>
    </row>
    <row r="150" spans="1:13" ht="12.75" customHeight="1">
      <c r="A150" s="14" t="s">
        <v>20</v>
      </c>
      <c r="B150" s="18" t="s">
        <v>94</v>
      </c>
      <c r="C150" s="18" t="s">
        <v>65</v>
      </c>
      <c r="D150" s="18" t="s">
        <v>175</v>
      </c>
      <c r="E150" s="18" t="s">
        <v>303</v>
      </c>
      <c r="F150" s="18" t="s">
        <v>46</v>
      </c>
      <c r="G150" s="71">
        <f>H150+I150+J150+K150</f>
        <v>113.19201999999999</v>
      </c>
      <c r="H150" s="71">
        <f>26.72+3.05247</f>
        <v>29.77247</v>
      </c>
      <c r="I150" s="71">
        <f>26.72-3.05247+3.665</f>
        <v>27.33253</v>
      </c>
      <c r="J150" s="98">
        <v>26.73</v>
      </c>
      <c r="K150" s="71">
        <f>26.73+2.62702</f>
        <v>29.35702</v>
      </c>
      <c r="L150" s="72"/>
      <c r="M150" s="72"/>
    </row>
    <row r="151" spans="1:13" ht="15" customHeight="1">
      <c r="A151" s="13" t="s">
        <v>35</v>
      </c>
      <c r="B151" s="18" t="s">
        <v>94</v>
      </c>
      <c r="C151" s="18" t="s">
        <v>65</v>
      </c>
      <c r="D151" s="18" t="s">
        <v>175</v>
      </c>
      <c r="E151" s="18" t="s">
        <v>116</v>
      </c>
      <c r="F151" s="18" t="s">
        <v>57</v>
      </c>
      <c r="G151" s="83">
        <f aca="true" t="shared" si="11" ref="G151:G159">H151+I151+J151+K151</f>
        <v>39.99999999999999</v>
      </c>
      <c r="H151" s="98">
        <f>H152</f>
        <v>12.82</v>
      </c>
      <c r="I151" s="98">
        <f>I152</f>
        <v>18.04</v>
      </c>
      <c r="J151" s="98">
        <f>J152</f>
        <v>12.77</v>
      </c>
      <c r="K151" s="98">
        <f>K152</f>
        <v>-3.630000000000001</v>
      </c>
      <c r="L151" s="72"/>
      <c r="M151" s="72"/>
    </row>
    <row r="152" spans="1:13" ht="15.75" customHeight="1">
      <c r="A152" s="13" t="s">
        <v>104</v>
      </c>
      <c r="B152" s="18" t="s">
        <v>94</v>
      </c>
      <c r="C152" s="18" t="s">
        <v>65</v>
      </c>
      <c r="D152" s="18" t="s">
        <v>175</v>
      </c>
      <c r="E152" s="18" t="s">
        <v>115</v>
      </c>
      <c r="F152" s="18" t="s">
        <v>59</v>
      </c>
      <c r="G152" s="83">
        <f>H152+I152+J152+K152</f>
        <v>39.99999999999999</v>
      </c>
      <c r="H152" s="98">
        <v>12.82</v>
      </c>
      <c r="I152" s="98">
        <v>18.04</v>
      </c>
      <c r="J152" s="98">
        <f>7.6+5.17</f>
        <v>12.77</v>
      </c>
      <c r="K152" s="98">
        <f>12.84-5.17-11.3</f>
        <v>-3.630000000000001</v>
      </c>
      <c r="L152" s="72"/>
      <c r="M152" s="72"/>
    </row>
    <row r="153" spans="1:13" ht="27" customHeight="1">
      <c r="A153" s="22" t="s">
        <v>176</v>
      </c>
      <c r="B153" s="17" t="s">
        <v>94</v>
      </c>
      <c r="C153" s="17" t="s">
        <v>181</v>
      </c>
      <c r="D153" s="17" t="s">
        <v>182</v>
      </c>
      <c r="E153" s="17" t="s">
        <v>68</v>
      </c>
      <c r="F153" s="17"/>
      <c r="G153" s="108">
        <f>G154+G157</f>
        <v>839.01</v>
      </c>
      <c r="H153" s="109">
        <f>H154+H157</f>
        <v>209.7</v>
      </c>
      <c r="I153" s="109">
        <f>I154+I157</f>
        <v>209.8</v>
      </c>
      <c r="J153" s="109">
        <f>J154+J157</f>
        <v>209.7</v>
      </c>
      <c r="K153" s="108">
        <f>K154+K157</f>
        <v>209.81</v>
      </c>
      <c r="L153" s="72"/>
      <c r="M153" s="72"/>
    </row>
    <row r="154" spans="1:13" ht="21.75" customHeight="1" hidden="1">
      <c r="A154" s="16" t="s">
        <v>178</v>
      </c>
      <c r="B154" s="17" t="s">
        <v>94</v>
      </c>
      <c r="C154" s="17" t="s">
        <v>121</v>
      </c>
      <c r="D154" s="17" t="s">
        <v>180</v>
      </c>
      <c r="E154" s="17" t="s">
        <v>68</v>
      </c>
      <c r="F154" s="17"/>
      <c r="G154" s="75">
        <f aca="true" t="shared" si="12" ref="G154:K155">G155</f>
        <v>0</v>
      </c>
      <c r="H154" s="75">
        <f t="shared" si="12"/>
        <v>0</v>
      </c>
      <c r="I154" s="75">
        <f t="shared" si="12"/>
        <v>0</v>
      </c>
      <c r="J154" s="75">
        <f t="shared" si="12"/>
        <v>0</v>
      </c>
      <c r="K154" s="75">
        <f t="shared" si="12"/>
        <v>0</v>
      </c>
      <c r="L154" s="72"/>
      <c r="M154" s="72"/>
    </row>
    <row r="155" spans="1:13" ht="36" customHeight="1" hidden="1">
      <c r="A155" s="21" t="s">
        <v>179</v>
      </c>
      <c r="B155" s="20" t="s">
        <v>94</v>
      </c>
      <c r="C155" s="20" t="s">
        <v>121</v>
      </c>
      <c r="D155" s="20" t="s">
        <v>177</v>
      </c>
      <c r="E155" s="20" t="s">
        <v>116</v>
      </c>
      <c r="F155" s="20"/>
      <c r="G155" s="79">
        <f t="shared" si="12"/>
        <v>0</v>
      </c>
      <c r="H155" s="79">
        <f t="shared" si="12"/>
        <v>0</v>
      </c>
      <c r="I155" s="79">
        <f t="shared" si="12"/>
        <v>0</v>
      </c>
      <c r="J155" s="79">
        <f t="shared" si="12"/>
        <v>0</v>
      </c>
      <c r="K155" s="79">
        <f t="shared" si="12"/>
        <v>0</v>
      </c>
      <c r="L155" s="72"/>
      <c r="M155" s="72"/>
    </row>
    <row r="156" spans="1:13" ht="0.75" customHeight="1">
      <c r="A156" s="13" t="s">
        <v>104</v>
      </c>
      <c r="B156" s="18" t="s">
        <v>94</v>
      </c>
      <c r="C156" s="18" t="s">
        <v>121</v>
      </c>
      <c r="D156" s="18" t="s">
        <v>177</v>
      </c>
      <c r="E156" s="18" t="s">
        <v>115</v>
      </c>
      <c r="F156" s="18" t="s">
        <v>59</v>
      </c>
      <c r="G156" s="71">
        <f>H156+I156+J156+K156</f>
        <v>0</v>
      </c>
      <c r="H156" s="71">
        <v>0</v>
      </c>
      <c r="I156" s="71">
        <v>0</v>
      </c>
      <c r="J156" s="71">
        <v>0</v>
      </c>
      <c r="K156" s="71">
        <f>35-35</f>
        <v>0</v>
      </c>
      <c r="L156" s="72"/>
      <c r="M156" s="72"/>
    </row>
    <row r="157" spans="1:13" ht="57" customHeight="1">
      <c r="A157" s="16" t="s">
        <v>183</v>
      </c>
      <c r="B157" s="17" t="s">
        <v>94</v>
      </c>
      <c r="C157" s="17" t="s">
        <v>121</v>
      </c>
      <c r="D157" s="17" t="s">
        <v>379</v>
      </c>
      <c r="E157" s="17" t="s">
        <v>42</v>
      </c>
      <c r="F157" s="17"/>
      <c r="G157" s="103">
        <f t="shared" si="11"/>
        <v>839.01</v>
      </c>
      <c r="H157" s="104">
        <f>H158</f>
        <v>209.7</v>
      </c>
      <c r="I157" s="104">
        <f>I158</f>
        <v>209.8</v>
      </c>
      <c r="J157" s="104">
        <f>J158</f>
        <v>209.7</v>
      </c>
      <c r="K157" s="103">
        <f>K158</f>
        <v>209.81</v>
      </c>
      <c r="L157" s="72"/>
      <c r="M157" s="72"/>
    </row>
    <row r="158" spans="1:13" ht="14.25" customHeight="1">
      <c r="A158" s="13" t="s">
        <v>122</v>
      </c>
      <c r="B158" s="18" t="s">
        <v>94</v>
      </c>
      <c r="C158" s="18" t="s">
        <v>121</v>
      </c>
      <c r="D158" s="18" t="s">
        <v>379</v>
      </c>
      <c r="E158" s="18" t="s">
        <v>157</v>
      </c>
      <c r="F158" s="18" t="s">
        <v>86</v>
      </c>
      <c r="G158" s="98">
        <f t="shared" si="11"/>
        <v>839.01</v>
      </c>
      <c r="H158" s="84">
        <v>209.7</v>
      </c>
      <c r="I158" s="84">
        <v>209.8</v>
      </c>
      <c r="J158" s="84">
        <v>209.7</v>
      </c>
      <c r="K158" s="98">
        <v>209.81</v>
      </c>
      <c r="L158" s="72"/>
      <c r="M158" s="72"/>
    </row>
    <row r="159" spans="1:13" ht="15" customHeight="1">
      <c r="A159" s="23" t="s">
        <v>123</v>
      </c>
      <c r="B159" s="17" t="s">
        <v>94</v>
      </c>
      <c r="C159" s="17" t="s">
        <v>338</v>
      </c>
      <c r="D159" s="17" t="s">
        <v>182</v>
      </c>
      <c r="E159" s="17" t="s">
        <v>68</v>
      </c>
      <c r="F159" s="17"/>
      <c r="G159" s="69">
        <f t="shared" si="11"/>
        <v>19080.76569</v>
      </c>
      <c r="H159" s="69">
        <f>H160+H166+H219</f>
        <v>266.0260800000001</v>
      </c>
      <c r="I159" s="107">
        <f>I160+I166+I219</f>
        <v>666.4359999999999</v>
      </c>
      <c r="J159" s="107">
        <f>J160+J166+J219</f>
        <v>9439.532000000001</v>
      </c>
      <c r="K159" s="69">
        <f>K160+K166+K219</f>
        <v>8708.77161</v>
      </c>
      <c r="L159" s="70"/>
      <c r="M159" s="70"/>
    </row>
    <row r="160" spans="1:13" ht="15" customHeight="1" hidden="1">
      <c r="A160" s="22" t="s">
        <v>339</v>
      </c>
      <c r="B160" s="17" t="s">
        <v>94</v>
      </c>
      <c r="C160" s="17" t="s">
        <v>340</v>
      </c>
      <c r="D160" s="17" t="s">
        <v>182</v>
      </c>
      <c r="E160" s="17" t="s">
        <v>68</v>
      </c>
      <c r="F160" s="17"/>
      <c r="G160" s="69">
        <f aca="true" t="shared" si="13" ref="G160:G166">H160+I160+J160+K160</f>
        <v>0</v>
      </c>
      <c r="H160" s="69">
        <f>H161</f>
        <v>0</v>
      </c>
      <c r="I160" s="107">
        <f>I161</f>
        <v>0</v>
      </c>
      <c r="J160" s="107">
        <f>J161</f>
        <v>0</v>
      </c>
      <c r="K160" s="69">
        <f>K161</f>
        <v>0</v>
      </c>
      <c r="L160" s="70"/>
      <c r="M160" s="70"/>
    </row>
    <row r="161" spans="1:13" ht="27.75" customHeight="1" hidden="1">
      <c r="A161" s="16" t="s">
        <v>320</v>
      </c>
      <c r="B161" s="17" t="s">
        <v>94</v>
      </c>
      <c r="C161" s="17" t="s">
        <v>340</v>
      </c>
      <c r="D161" s="17" t="s">
        <v>321</v>
      </c>
      <c r="E161" s="17" t="s">
        <v>68</v>
      </c>
      <c r="F161" s="17"/>
      <c r="G161" s="75">
        <f t="shared" si="13"/>
        <v>0</v>
      </c>
      <c r="H161" s="75">
        <f aca="true" t="shared" si="14" ref="H161:K162">H162</f>
        <v>0</v>
      </c>
      <c r="I161" s="101">
        <f t="shared" si="14"/>
        <v>0</v>
      </c>
      <c r="J161" s="101">
        <f t="shared" si="14"/>
        <v>0</v>
      </c>
      <c r="K161" s="75">
        <f t="shared" si="14"/>
        <v>0</v>
      </c>
      <c r="L161" s="70"/>
      <c r="M161" s="70"/>
    </row>
    <row r="162" spans="1:13" ht="27" customHeight="1" hidden="1">
      <c r="A162" s="21" t="s">
        <v>322</v>
      </c>
      <c r="B162" s="20" t="s">
        <v>94</v>
      </c>
      <c r="C162" s="20" t="s">
        <v>340</v>
      </c>
      <c r="D162" s="20" t="s">
        <v>324</v>
      </c>
      <c r="E162" s="20" t="s">
        <v>116</v>
      </c>
      <c r="F162" s="20"/>
      <c r="G162" s="79">
        <f t="shared" si="13"/>
        <v>0</v>
      </c>
      <c r="H162" s="79">
        <f t="shared" si="14"/>
        <v>0</v>
      </c>
      <c r="I162" s="102">
        <f t="shared" si="14"/>
        <v>0</v>
      </c>
      <c r="J162" s="102">
        <f t="shared" si="14"/>
        <v>0</v>
      </c>
      <c r="K162" s="79">
        <f t="shared" si="14"/>
        <v>0</v>
      </c>
      <c r="L162" s="70"/>
      <c r="M162" s="70"/>
    </row>
    <row r="163" spans="1:13" ht="15" customHeight="1" hidden="1">
      <c r="A163" s="14" t="s">
        <v>32</v>
      </c>
      <c r="B163" s="18" t="s">
        <v>94</v>
      </c>
      <c r="C163" s="18" t="s">
        <v>340</v>
      </c>
      <c r="D163" s="18" t="s">
        <v>324</v>
      </c>
      <c r="E163" s="18" t="s">
        <v>115</v>
      </c>
      <c r="F163" s="18" t="s">
        <v>54</v>
      </c>
      <c r="G163" s="79">
        <f t="shared" si="13"/>
        <v>0</v>
      </c>
      <c r="H163" s="71">
        <f>99-99</f>
        <v>0</v>
      </c>
      <c r="I163" s="97">
        <f>99-3.69864-95.30136</f>
        <v>0</v>
      </c>
      <c r="J163" s="97">
        <f>95.30136-95.30136</f>
        <v>0</v>
      </c>
      <c r="K163" s="71">
        <v>0</v>
      </c>
      <c r="L163" s="70"/>
      <c r="M163" s="70"/>
    </row>
    <row r="164" spans="1:13" ht="15" customHeight="1" hidden="1">
      <c r="A164" s="21"/>
      <c r="B164" s="18"/>
      <c r="C164" s="18"/>
      <c r="D164" s="18"/>
      <c r="E164" s="18"/>
      <c r="F164" s="18"/>
      <c r="G164" s="79">
        <f t="shared" si="13"/>
        <v>0</v>
      </c>
      <c r="H164" s="79">
        <f>H165</f>
        <v>0</v>
      </c>
      <c r="I164" s="102">
        <f>I165</f>
        <v>0</v>
      </c>
      <c r="J164" s="102">
        <f>J165</f>
        <v>0</v>
      </c>
      <c r="K164" s="79">
        <f>K165</f>
        <v>0</v>
      </c>
      <c r="L164" s="72"/>
      <c r="M164" s="78"/>
    </row>
    <row r="165" spans="1:13" ht="15" customHeight="1" hidden="1">
      <c r="A165" s="13"/>
      <c r="B165" s="18"/>
      <c r="C165" s="18"/>
      <c r="D165" s="18"/>
      <c r="E165" s="18"/>
      <c r="F165" s="18"/>
      <c r="G165" s="71">
        <f t="shared" si="13"/>
        <v>0</v>
      </c>
      <c r="H165" s="71">
        <v>0</v>
      </c>
      <c r="I165" s="97">
        <v>0</v>
      </c>
      <c r="J165" s="97">
        <v>0</v>
      </c>
      <c r="K165" s="71">
        <v>0</v>
      </c>
      <c r="L165" s="72"/>
      <c r="M165" s="78"/>
    </row>
    <row r="166" spans="1:13" ht="15" customHeight="1">
      <c r="A166" s="24" t="s">
        <v>341</v>
      </c>
      <c r="B166" s="25" t="s">
        <v>94</v>
      </c>
      <c r="C166" s="25" t="s">
        <v>124</v>
      </c>
      <c r="D166" s="25" t="s">
        <v>182</v>
      </c>
      <c r="E166" s="25" t="s">
        <v>68</v>
      </c>
      <c r="F166" s="26"/>
      <c r="G166" s="69">
        <f t="shared" si="13"/>
        <v>19080.76569</v>
      </c>
      <c r="H166" s="69">
        <f>H188+H195+H198+H217</f>
        <v>266.0260800000001</v>
      </c>
      <c r="I166" s="107">
        <f>I188+I195+I198+I217</f>
        <v>666.4359999999999</v>
      </c>
      <c r="J166" s="107">
        <f>J188+J195+J198+J217</f>
        <v>9439.532000000001</v>
      </c>
      <c r="K166" s="69">
        <f>K188+K195+K198+K217</f>
        <v>8708.77161</v>
      </c>
      <c r="L166" s="70"/>
      <c r="M166" s="70"/>
    </row>
    <row r="167" spans="1:13" ht="36" customHeight="1" hidden="1">
      <c r="A167" s="16" t="s">
        <v>300</v>
      </c>
      <c r="B167" s="17" t="s">
        <v>94</v>
      </c>
      <c r="C167" s="17" t="s">
        <v>124</v>
      </c>
      <c r="D167" s="17" t="s">
        <v>184</v>
      </c>
      <c r="E167" s="17" t="s">
        <v>148</v>
      </c>
      <c r="F167" s="17"/>
      <c r="G167" s="75">
        <f>K167+J167+I167+H167</f>
        <v>0</v>
      </c>
      <c r="H167" s="75">
        <f>H168+H170+H176+H178+H180+H182+H172+H174+H184+H186</f>
        <v>0</v>
      </c>
      <c r="I167" s="101">
        <f>I168+I170+I176+I178+I180+I182+I172+I174+I184+I186</f>
        <v>0</v>
      </c>
      <c r="J167" s="101">
        <f>J168+J170+J176+J178+J180+J182+J172+J174+J184+J186</f>
        <v>0</v>
      </c>
      <c r="K167" s="75">
        <f>K168+K170+K176+K178+K180+K182+K172+K174+K184+K186</f>
        <v>0</v>
      </c>
      <c r="L167" s="77"/>
      <c r="M167" s="77"/>
    </row>
    <row r="168" spans="1:13" ht="21.75" customHeight="1" hidden="1">
      <c r="A168" s="21" t="s">
        <v>185</v>
      </c>
      <c r="B168" s="20" t="s">
        <v>94</v>
      </c>
      <c r="C168" s="20" t="s">
        <v>124</v>
      </c>
      <c r="D168" s="20" t="s">
        <v>186</v>
      </c>
      <c r="E168" s="20" t="s">
        <v>115</v>
      </c>
      <c r="F168" s="20" t="s">
        <v>49</v>
      </c>
      <c r="G168" s="79">
        <f aca="true" t="shared" si="15" ref="G168:G183">H168+I168+J168+K168</f>
        <v>0</v>
      </c>
      <c r="H168" s="79">
        <f>H169</f>
        <v>0</v>
      </c>
      <c r="I168" s="102">
        <f>I169</f>
        <v>0</v>
      </c>
      <c r="J168" s="102">
        <f>J169</f>
        <v>0</v>
      </c>
      <c r="K168" s="79">
        <f>K169</f>
        <v>0</v>
      </c>
      <c r="L168" s="72"/>
      <c r="M168" s="72"/>
    </row>
    <row r="169" spans="1:13" ht="12.75" customHeight="1" hidden="1">
      <c r="A169" s="13" t="s">
        <v>149</v>
      </c>
      <c r="B169" s="18" t="s">
        <v>94</v>
      </c>
      <c r="C169" s="18" t="s">
        <v>124</v>
      </c>
      <c r="D169" s="18" t="s">
        <v>186</v>
      </c>
      <c r="E169" s="18" t="s">
        <v>115</v>
      </c>
      <c r="F169" s="18" t="s">
        <v>53</v>
      </c>
      <c r="G169" s="71">
        <f t="shared" si="15"/>
        <v>0</v>
      </c>
      <c r="H169" s="71">
        <v>0</v>
      </c>
      <c r="I169" s="97">
        <v>0</v>
      </c>
      <c r="J169" s="97">
        <v>0</v>
      </c>
      <c r="K169" s="71">
        <v>0</v>
      </c>
      <c r="L169" s="72"/>
      <c r="M169" s="78"/>
    </row>
    <row r="170" spans="1:13" ht="36.75" customHeight="1" hidden="1">
      <c r="A170" s="21" t="s">
        <v>187</v>
      </c>
      <c r="B170" s="20" t="s">
        <v>94</v>
      </c>
      <c r="C170" s="20" t="s">
        <v>124</v>
      </c>
      <c r="D170" s="20" t="s">
        <v>188</v>
      </c>
      <c r="E170" s="20" t="s">
        <v>115</v>
      </c>
      <c r="F170" s="20" t="s">
        <v>49</v>
      </c>
      <c r="G170" s="79">
        <f t="shared" si="15"/>
        <v>0</v>
      </c>
      <c r="H170" s="79">
        <f>H171</f>
        <v>0</v>
      </c>
      <c r="I170" s="102">
        <f>I171</f>
        <v>0</v>
      </c>
      <c r="J170" s="102">
        <f>J171</f>
        <v>0</v>
      </c>
      <c r="K170" s="79">
        <f>K171</f>
        <v>0</v>
      </c>
      <c r="L170" s="72"/>
      <c r="M170" s="78"/>
    </row>
    <row r="171" spans="1:13" ht="12.75" customHeight="1" hidden="1">
      <c r="A171" s="13" t="s">
        <v>32</v>
      </c>
      <c r="B171" s="18" t="s">
        <v>94</v>
      </c>
      <c r="C171" s="18" t="s">
        <v>124</v>
      </c>
      <c r="D171" s="18" t="s">
        <v>188</v>
      </c>
      <c r="E171" s="18" t="s">
        <v>115</v>
      </c>
      <c r="F171" s="18" t="s">
        <v>54</v>
      </c>
      <c r="G171" s="71">
        <f t="shared" si="15"/>
        <v>0</v>
      </c>
      <c r="H171" s="71">
        <v>0</v>
      </c>
      <c r="I171" s="97">
        <v>0</v>
      </c>
      <c r="J171" s="97">
        <v>0</v>
      </c>
      <c r="K171" s="71">
        <v>0</v>
      </c>
      <c r="L171" s="72"/>
      <c r="M171" s="78"/>
    </row>
    <row r="172" spans="1:13" ht="24" customHeight="1" hidden="1">
      <c r="A172" s="21" t="s">
        <v>311</v>
      </c>
      <c r="B172" s="20" t="s">
        <v>94</v>
      </c>
      <c r="C172" s="20" t="s">
        <v>124</v>
      </c>
      <c r="D172" s="20" t="s">
        <v>325</v>
      </c>
      <c r="E172" s="20" t="s">
        <v>115</v>
      </c>
      <c r="F172" s="20" t="s">
        <v>49</v>
      </c>
      <c r="G172" s="79">
        <f t="shared" si="15"/>
        <v>0</v>
      </c>
      <c r="H172" s="79">
        <f>H173</f>
        <v>0</v>
      </c>
      <c r="I172" s="102">
        <f>I173</f>
        <v>0</v>
      </c>
      <c r="J172" s="102">
        <f>J173</f>
        <v>0</v>
      </c>
      <c r="K172" s="79">
        <f>K173</f>
        <v>0</v>
      </c>
      <c r="L172" s="72"/>
      <c r="M172" s="78"/>
    </row>
    <row r="173" spans="1:13" ht="12.75" customHeight="1" hidden="1">
      <c r="A173" s="13" t="s">
        <v>32</v>
      </c>
      <c r="B173" s="18" t="s">
        <v>94</v>
      </c>
      <c r="C173" s="18" t="s">
        <v>124</v>
      </c>
      <c r="D173" s="18" t="s">
        <v>325</v>
      </c>
      <c r="E173" s="18" t="s">
        <v>115</v>
      </c>
      <c r="F173" s="18" t="s">
        <v>54</v>
      </c>
      <c r="G173" s="71">
        <f t="shared" si="15"/>
        <v>0</v>
      </c>
      <c r="H173" s="71">
        <v>0</v>
      </c>
      <c r="I173" s="97">
        <v>0</v>
      </c>
      <c r="J173" s="97">
        <v>0</v>
      </c>
      <c r="K173" s="71">
        <v>0</v>
      </c>
      <c r="L173" s="72"/>
      <c r="M173" s="78"/>
    </row>
    <row r="174" spans="1:13" ht="36.75" customHeight="1" hidden="1">
      <c r="A174" s="21" t="s">
        <v>326</v>
      </c>
      <c r="B174" s="20" t="s">
        <v>94</v>
      </c>
      <c r="C174" s="20" t="s">
        <v>124</v>
      </c>
      <c r="D174" s="20" t="s">
        <v>327</v>
      </c>
      <c r="E174" s="20" t="s">
        <v>115</v>
      </c>
      <c r="F174" s="20" t="s">
        <v>49</v>
      </c>
      <c r="G174" s="79">
        <f>H174+I174+J174+K174</f>
        <v>0</v>
      </c>
      <c r="H174" s="79">
        <f>H175</f>
        <v>0</v>
      </c>
      <c r="I174" s="102">
        <f>I175</f>
        <v>0</v>
      </c>
      <c r="J174" s="102">
        <f>J175</f>
        <v>0</v>
      </c>
      <c r="K174" s="79">
        <f>K175</f>
        <v>0</v>
      </c>
      <c r="L174" s="72"/>
      <c r="M174" s="78"/>
    </row>
    <row r="175" spans="1:13" ht="12.75" customHeight="1" hidden="1">
      <c r="A175" s="13" t="s">
        <v>149</v>
      </c>
      <c r="B175" s="18" t="s">
        <v>94</v>
      </c>
      <c r="C175" s="18" t="s">
        <v>124</v>
      </c>
      <c r="D175" s="18" t="s">
        <v>327</v>
      </c>
      <c r="E175" s="18" t="s">
        <v>115</v>
      </c>
      <c r="F175" s="18" t="s">
        <v>53</v>
      </c>
      <c r="G175" s="71">
        <f>H175+I175+J175+K175</f>
        <v>0</v>
      </c>
      <c r="H175" s="71">
        <v>0</v>
      </c>
      <c r="I175" s="97">
        <v>0</v>
      </c>
      <c r="J175" s="97">
        <f>6425-6425</f>
        <v>0</v>
      </c>
      <c r="K175" s="71">
        <v>0</v>
      </c>
      <c r="L175" s="72"/>
      <c r="M175" s="78"/>
    </row>
    <row r="176" spans="1:13" ht="36.75" customHeight="1" hidden="1">
      <c r="A176" s="21" t="s">
        <v>309</v>
      </c>
      <c r="B176" s="20" t="s">
        <v>94</v>
      </c>
      <c r="C176" s="20" t="s">
        <v>124</v>
      </c>
      <c r="D176" s="20" t="s">
        <v>310</v>
      </c>
      <c r="E176" s="20" t="s">
        <v>115</v>
      </c>
      <c r="F176" s="20" t="s">
        <v>49</v>
      </c>
      <c r="G176" s="79">
        <f t="shared" si="15"/>
        <v>0</v>
      </c>
      <c r="H176" s="79">
        <f>H177</f>
        <v>0</v>
      </c>
      <c r="I176" s="102">
        <f>I177</f>
        <v>0</v>
      </c>
      <c r="J176" s="102">
        <f>J177</f>
        <v>0</v>
      </c>
      <c r="K176" s="79">
        <f>K177</f>
        <v>0</v>
      </c>
      <c r="L176" s="72"/>
      <c r="M176" s="78"/>
    </row>
    <row r="177" spans="1:13" ht="12.75" customHeight="1" hidden="1">
      <c r="A177" s="13" t="s">
        <v>23</v>
      </c>
      <c r="B177" s="18" t="s">
        <v>94</v>
      </c>
      <c r="C177" s="18" t="s">
        <v>124</v>
      </c>
      <c r="D177" s="18" t="s">
        <v>310</v>
      </c>
      <c r="E177" s="18" t="s">
        <v>115</v>
      </c>
      <c r="F177" s="18" t="s">
        <v>51</v>
      </c>
      <c r="G177" s="71">
        <f t="shared" si="15"/>
        <v>0</v>
      </c>
      <c r="H177" s="71">
        <v>0</v>
      </c>
      <c r="I177" s="97">
        <v>0</v>
      </c>
      <c r="J177" s="97">
        <f>165.01-29.81-135.2</f>
        <v>0</v>
      </c>
      <c r="K177" s="71">
        <v>0</v>
      </c>
      <c r="L177" s="72"/>
      <c r="M177" s="78"/>
    </row>
    <row r="178" spans="1:13" ht="24" customHeight="1" hidden="1">
      <c r="A178" s="21" t="s">
        <v>312</v>
      </c>
      <c r="B178" s="20" t="s">
        <v>94</v>
      </c>
      <c r="C178" s="20" t="s">
        <v>124</v>
      </c>
      <c r="D178" s="20" t="s">
        <v>313</v>
      </c>
      <c r="E178" s="20" t="s">
        <v>115</v>
      </c>
      <c r="F178" s="20" t="s">
        <v>49</v>
      </c>
      <c r="G178" s="79">
        <f t="shared" si="15"/>
        <v>0</v>
      </c>
      <c r="H178" s="79">
        <f>H179</f>
        <v>0</v>
      </c>
      <c r="I178" s="102">
        <f>I179</f>
        <v>0</v>
      </c>
      <c r="J178" s="102">
        <f>J179</f>
        <v>0</v>
      </c>
      <c r="K178" s="79">
        <f>K179</f>
        <v>0</v>
      </c>
      <c r="L178" s="72"/>
      <c r="M178" s="78"/>
    </row>
    <row r="179" spans="1:13" ht="12.75" customHeight="1" hidden="1">
      <c r="A179" s="13" t="s">
        <v>32</v>
      </c>
      <c r="B179" s="18" t="s">
        <v>94</v>
      </c>
      <c r="C179" s="18" t="s">
        <v>124</v>
      </c>
      <c r="D179" s="18" t="s">
        <v>313</v>
      </c>
      <c r="E179" s="18" t="s">
        <v>115</v>
      </c>
      <c r="F179" s="18" t="s">
        <v>54</v>
      </c>
      <c r="G179" s="71">
        <f t="shared" si="15"/>
        <v>0</v>
      </c>
      <c r="H179" s="71">
        <v>0</v>
      </c>
      <c r="I179" s="97">
        <v>0</v>
      </c>
      <c r="J179" s="97">
        <v>0</v>
      </c>
      <c r="K179" s="71">
        <v>0</v>
      </c>
      <c r="L179" s="72"/>
      <c r="M179" s="78"/>
    </row>
    <row r="180" spans="1:13" ht="39" customHeight="1" hidden="1">
      <c r="A180" s="21" t="s">
        <v>314</v>
      </c>
      <c r="B180" s="20" t="s">
        <v>94</v>
      </c>
      <c r="C180" s="20" t="s">
        <v>124</v>
      </c>
      <c r="D180" s="20" t="s">
        <v>315</v>
      </c>
      <c r="E180" s="20" t="s">
        <v>115</v>
      </c>
      <c r="F180" s="20" t="s">
        <v>49</v>
      </c>
      <c r="G180" s="79">
        <f t="shared" si="15"/>
        <v>0</v>
      </c>
      <c r="H180" s="79">
        <f>H181</f>
        <v>0</v>
      </c>
      <c r="I180" s="102">
        <f>I181</f>
        <v>0</v>
      </c>
      <c r="J180" s="102">
        <f>J181</f>
        <v>0</v>
      </c>
      <c r="K180" s="79">
        <f>K181</f>
        <v>0</v>
      </c>
      <c r="L180" s="72"/>
      <c r="M180" s="78"/>
    </row>
    <row r="181" spans="1:13" ht="12.75" customHeight="1" hidden="1">
      <c r="A181" s="13" t="s">
        <v>32</v>
      </c>
      <c r="B181" s="18" t="s">
        <v>94</v>
      </c>
      <c r="C181" s="18" t="s">
        <v>124</v>
      </c>
      <c r="D181" s="18" t="s">
        <v>315</v>
      </c>
      <c r="E181" s="18" t="s">
        <v>115</v>
      </c>
      <c r="F181" s="18" t="s">
        <v>54</v>
      </c>
      <c r="G181" s="71">
        <f t="shared" si="15"/>
        <v>0</v>
      </c>
      <c r="H181" s="71">
        <v>0</v>
      </c>
      <c r="I181" s="97">
        <v>0</v>
      </c>
      <c r="J181" s="97">
        <f>75-75</f>
        <v>0</v>
      </c>
      <c r="K181" s="71">
        <v>0</v>
      </c>
      <c r="L181" s="72"/>
      <c r="M181" s="78"/>
    </row>
    <row r="182" spans="1:13" ht="22.5" customHeight="1" hidden="1">
      <c r="A182" s="21" t="s">
        <v>316</v>
      </c>
      <c r="B182" s="20" t="s">
        <v>94</v>
      </c>
      <c r="C182" s="20" t="s">
        <v>124</v>
      </c>
      <c r="D182" s="20" t="s">
        <v>317</v>
      </c>
      <c r="E182" s="20" t="s">
        <v>115</v>
      </c>
      <c r="F182" s="20" t="s">
        <v>49</v>
      </c>
      <c r="G182" s="79">
        <f t="shared" si="15"/>
        <v>0</v>
      </c>
      <c r="H182" s="79">
        <f>H183</f>
        <v>0</v>
      </c>
      <c r="I182" s="102">
        <f>I183</f>
        <v>0</v>
      </c>
      <c r="J182" s="102">
        <f>J183</f>
        <v>0</v>
      </c>
      <c r="K182" s="79">
        <f>K183</f>
        <v>0</v>
      </c>
      <c r="L182" s="72"/>
      <c r="M182" s="78"/>
    </row>
    <row r="183" spans="1:13" ht="12.75" customHeight="1" hidden="1">
      <c r="A183" s="13" t="s">
        <v>32</v>
      </c>
      <c r="B183" s="18" t="s">
        <v>94</v>
      </c>
      <c r="C183" s="18" t="s">
        <v>124</v>
      </c>
      <c r="D183" s="18" t="s">
        <v>317</v>
      </c>
      <c r="E183" s="18" t="s">
        <v>115</v>
      </c>
      <c r="F183" s="18" t="s">
        <v>54</v>
      </c>
      <c r="G183" s="71">
        <f t="shared" si="15"/>
        <v>0</v>
      </c>
      <c r="H183" s="71">
        <v>0</v>
      </c>
      <c r="I183" s="97">
        <v>0</v>
      </c>
      <c r="J183" s="97">
        <f>116-116</f>
        <v>0</v>
      </c>
      <c r="K183" s="71">
        <v>0</v>
      </c>
      <c r="L183" s="72"/>
      <c r="M183" s="78"/>
    </row>
    <row r="184" spans="1:13" ht="50.25" customHeight="1" hidden="1">
      <c r="A184" s="21" t="s">
        <v>342</v>
      </c>
      <c r="B184" s="20" t="s">
        <v>94</v>
      </c>
      <c r="C184" s="20" t="s">
        <v>124</v>
      </c>
      <c r="D184" s="20" t="s">
        <v>343</v>
      </c>
      <c r="E184" s="20" t="s">
        <v>115</v>
      </c>
      <c r="F184" s="20" t="s">
        <v>49</v>
      </c>
      <c r="G184" s="79">
        <f>H184+I184+J184+K184</f>
        <v>0</v>
      </c>
      <c r="H184" s="79">
        <f>H185</f>
        <v>0</v>
      </c>
      <c r="I184" s="102">
        <f>I185</f>
        <v>0</v>
      </c>
      <c r="J184" s="102">
        <f>J185</f>
        <v>0</v>
      </c>
      <c r="K184" s="79">
        <f>K185</f>
        <v>0</v>
      </c>
      <c r="L184" s="72"/>
      <c r="M184" s="78"/>
    </row>
    <row r="185" spans="1:13" ht="12.75" customHeight="1" hidden="1">
      <c r="A185" s="13" t="s">
        <v>149</v>
      </c>
      <c r="B185" s="18" t="s">
        <v>94</v>
      </c>
      <c r="C185" s="18" t="s">
        <v>124</v>
      </c>
      <c r="D185" s="18" t="s">
        <v>343</v>
      </c>
      <c r="E185" s="18" t="s">
        <v>115</v>
      </c>
      <c r="F185" s="18" t="s">
        <v>53</v>
      </c>
      <c r="G185" s="71">
        <f>H185+I185+J185+K185</f>
        <v>0</v>
      </c>
      <c r="H185" s="71">
        <v>0</v>
      </c>
      <c r="I185" s="97">
        <v>0</v>
      </c>
      <c r="J185" s="97">
        <v>0</v>
      </c>
      <c r="K185" s="71">
        <v>0</v>
      </c>
      <c r="L185" s="72"/>
      <c r="M185" s="78"/>
    </row>
    <row r="186" spans="1:13" ht="26.25" customHeight="1" hidden="1">
      <c r="A186" s="21" t="s">
        <v>362</v>
      </c>
      <c r="B186" s="20" t="s">
        <v>94</v>
      </c>
      <c r="C186" s="20" t="s">
        <v>124</v>
      </c>
      <c r="D186" s="20" t="s">
        <v>361</v>
      </c>
      <c r="E186" s="20" t="s">
        <v>115</v>
      </c>
      <c r="F186" s="20" t="s">
        <v>49</v>
      </c>
      <c r="G186" s="79">
        <f>H186+I186+J186+K186</f>
        <v>0</v>
      </c>
      <c r="H186" s="79">
        <f>H187</f>
        <v>0</v>
      </c>
      <c r="I186" s="102">
        <f>I187</f>
        <v>0</v>
      </c>
      <c r="J186" s="102">
        <f>J187</f>
        <v>0</v>
      </c>
      <c r="K186" s="79">
        <f>K187</f>
        <v>0</v>
      </c>
      <c r="L186" s="72"/>
      <c r="M186" s="78"/>
    </row>
    <row r="187" spans="1:13" ht="12.75" customHeight="1" hidden="1">
      <c r="A187" s="13" t="s">
        <v>149</v>
      </c>
      <c r="B187" s="18" t="s">
        <v>94</v>
      </c>
      <c r="C187" s="18" t="s">
        <v>124</v>
      </c>
      <c r="D187" s="18" t="s">
        <v>361</v>
      </c>
      <c r="E187" s="18" t="s">
        <v>115</v>
      </c>
      <c r="F187" s="18" t="s">
        <v>54</v>
      </c>
      <c r="G187" s="71">
        <f>H187+I187+J187+K187</f>
        <v>0</v>
      </c>
      <c r="H187" s="71">
        <v>0</v>
      </c>
      <c r="I187" s="97">
        <v>0</v>
      </c>
      <c r="J187" s="97">
        <v>0</v>
      </c>
      <c r="K187" s="71">
        <v>0</v>
      </c>
      <c r="L187" s="72"/>
      <c r="M187" s="78"/>
    </row>
    <row r="188" spans="1:13" ht="38.25" customHeight="1">
      <c r="A188" s="16" t="s">
        <v>388</v>
      </c>
      <c r="B188" s="17" t="s">
        <v>94</v>
      </c>
      <c r="C188" s="17" t="s">
        <v>124</v>
      </c>
      <c r="D188" s="17" t="s">
        <v>190</v>
      </c>
      <c r="E188" s="17" t="s">
        <v>148</v>
      </c>
      <c r="F188" s="17"/>
      <c r="G188" s="75">
        <f>G189+G193</f>
        <v>4037.9935800000003</v>
      </c>
      <c r="H188" s="75">
        <f>H189+H193+H191</f>
        <v>266.0260800000001</v>
      </c>
      <c r="I188" s="101">
        <f>I189+I193+I191</f>
        <v>666.4359999999999</v>
      </c>
      <c r="J188" s="101">
        <f>J189+J193+J191</f>
        <v>620.3720000000001</v>
      </c>
      <c r="K188" s="99">
        <f>K189+K193+K191</f>
        <v>2485.1594999999998</v>
      </c>
      <c r="L188" s="72"/>
      <c r="M188" s="72"/>
    </row>
    <row r="189" spans="1:13" ht="78.75" customHeight="1">
      <c r="A189" s="21" t="s">
        <v>189</v>
      </c>
      <c r="B189" s="20" t="s">
        <v>94</v>
      </c>
      <c r="C189" s="20" t="s">
        <v>124</v>
      </c>
      <c r="D189" s="20" t="s">
        <v>191</v>
      </c>
      <c r="E189" s="20" t="s">
        <v>115</v>
      </c>
      <c r="F189" s="20"/>
      <c r="G189" s="79">
        <f>G190</f>
        <v>3506.79358</v>
      </c>
      <c r="H189" s="79">
        <f>H190</f>
        <v>266.0260800000001</v>
      </c>
      <c r="I189" s="102">
        <f>I190</f>
        <v>666.4359999999999</v>
      </c>
      <c r="J189" s="102">
        <f>J190</f>
        <v>620.3720000000001</v>
      </c>
      <c r="K189" s="100">
        <f>K190</f>
        <v>1953.9595</v>
      </c>
      <c r="L189" s="72"/>
      <c r="M189" s="72"/>
    </row>
    <row r="190" spans="1:13" ht="14.25" customHeight="1">
      <c r="A190" s="13" t="s">
        <v>149</v>
      </c>
      <c r="B190" s="18" t="s">
        <v>94</v>
      </c>
      <c r="C190" s="18" t="s">
        <v>124</v>
      </c>
      <c r="D190" s="18" t="s">
        <v>191</v>
      </c>
      <c r="E190" s="18" t="s">
        <v>115</v>
      </c>
      <c r="F190" s="18" t="s">
        <v>53</v>
      </c>
      <c r="G190" s="71">
        <f>H190+I190+J190+K190</f>
        <v>3506.79358</v>
      </c>
      <c r="H190" s="71">
        <f>1558-1291.97392</f>
        <v>266.0260800000001</v>
      </c>
      <c r="I190" s="97">
        <f>361+1291.97392-986.53792</f>
        <v>666.4359999999999</v>
      </c>
      <c r="J190" s="97">
        <f>302.48+986.53792+50.30366-718.94958</f>
        <v>620.3720000000001</v>
      </c>
      <c r="K190" s="94">
        <f>1200.92+718.94958-253.22+253.22+240.395-206.30508</f>
        <v>1953.9595</v>
      </c>
      <c r="L190" s="72"/>
      <c r="M190" s="72"/>
    </row>
    <row r="191" spans="1:13" ht="88.5" customHeight="1" hidden="1">
      <c r="A191" s="21" t="s">
        <v>462</v>
      </c>
      <c r="B191" s="20" t="s">
        <v>94</v>
      </c>
      <c r="C191" s="20" t="s">
        <v>124</v>
      </c>
      <c r="D191" s="20" t="s">
        <v>191</v>
      </c>
      <c r="E191" s="20" t="s">
        <v>151</v>
      </c>
      <c r="F191" s="20"/>
      <c r="G191" s="79">
        <f>G192</f>
        <v>0</v>
      </c>
      <c r="H191" s="79">
        <f>H192</f>
        <v>0</v>
      </c>
      <c r="I191" s="79">
        <f>I192</f>
        <v>0</v>
      </c>
      <c r="J191" s="79">
        <f>J192</f>
        <v>0</v>
      </c>
      <c r="K191" s="79">
        <f>K192</f>
        <v>0</v>
      </c>
      <c r="L191" s="72"/>
      <c r="M191" s="72"/>
    </row>
    <row r="192" spans="1:13" ht="14.25" customHeight="1" hidden="1">
      <c r="A192" s="13" t="s">
        <v>149</v>
      </c>
      <c r="B192" s="18" t="s">
        <v>94</v>
      </c>
      <c r="C192" s="18" t="s">
        <v>124</v>
      </c>
      <c r="D192" s="18" t="s">
        <v>191</v>
      </c>
      <c r="E192" s="18" t="s">
        <v>337</v>
      </c>
      <c r="F192" s="18" t="s">
        <v>55</v>
      </c>
      <c r="G192" s="71">
        <f>H192+I192+J192+K192</f>
        <v>0</v>
      </c>
      <c r="H192" s="71">
        <v>0</v>
      </c>
      <c r="I192" s="71">
        <v>0</v>
      </c>
      <c r="J192" s="71">
        <v>0</v>
      </c>
      <c r="K192" s="71">
        <f>253.22-253.22</f>
        <v>0</v>
      </c>
      <c r="L192" s="72"/>
      <c r="M192" s="72"/>
    </row>
    <row r="193" spans="1:13" ht="25.5" customHeight="1">
      <c r="A193" s="13" t="s">
        <v>368</v>
      </c>
      <c r="B193" s="20" t="s">
        <v>94</v>
      </c>
      <c r="C193" s="20" t="s">
        <v>124</v>
      </c>
      <c r="D193" s="20" t="s">
        <v>369</v>
      </c>
      <c r="E193" s="20" t="s">
        <v>115</v>
      </c>
      <c r="F193" s="20" t="s">
        <v>49</v>
      </c>
      <c r="G193" s="82">
        <f>G194</f>
        <v>531.2</v>
      </c>
      <c r="H193" s="81">
        <f>H194</f>
        <v>0</v>
      </c>
      <c r="I193" s="81">
        <f>I194</f>
        <v>0</v>
      </c>
      <c r="J193" s="81">
        <f>J194</f>
        <v>0</v>
      </c>
      <c r="K193" s="82">
        <f>K194</f>
        <v>531.2</v>
      </c>
      <c r="L193" s="72"/>
      <c r="M193" s="72"/>
    </row>
    <row r="194" spans="1:13" ht="19.5" customHeight="1">
      <c r="A194" s="13" t="s">
        <v>149</v>
      </c>
      <c r="B194" s="18" t="s">
        <v>94</v>
      </c>
      <c r="C194" s="18" t="s">
        <v>124</v>
      </c>
      <c r="D194" s="18" t="s">
        <v>369</v>
      </c>
      <c r="E194" s="18" t="s">
        <v>115</v>
      </c>
      <c r="F194" s="18" t="s">
        <v>53</v>
      </c>
      <c r="G194" s="84">
        <f>H194+I194+J194+K194</f>
        <v>531.2</v>
      </c>
      <c r="H194" s="83">
        <v>0</v>
      </c>
      <c r="I194" s="83">
        <f>200-200</f>
        <v>0</v>
      </c>
      <c r="J194" s="83">
        <f>300+200-500</f>
        <v>0</v>
      </c>
      <c r="K194" s="84">
        <f>500+31.2</f>
        <v>531.2</v>
      </c>
      <c r="L194" s="72"/>
      <c r="M194" s="72"/>
    </row>
    <row r="195" spans="1:13" ht="30.75" customHeight="1">
      <c r="A195" s="16" t="s">
        <v>442</v>
      </c>
      <c r="B195" s="17" t="s">
        <v>94</v>
      </c>
      <c r="C195" s="17" t="s">
        <v>124</v>
      </c>
      <c r="D195" s="17" t="s">
        <v>321</v>
      </c>
      <c r="E195" s="17"/>
      <c r="F195" s="18"/>
      <c r="G195" s="104">
        <f>H195+I195+J195+K195</f>
        <v>2049.3</v>
      </c>
      <c r="H195" s="105">
        <f aca="true" t="shared" si="16" ref="H195:K196">H196</f>
        <v>0</v>
      </c>
      <c r="I195" s="105">
        <f t="shared" si="16"/>
        <v>0</v>
      </c>
      <c r="J195" s="104">
        <f t="shared" si="16"/>
        <v>2049.3</v>
      </c>
      <c r="K195" s="105">
        <f t="shared" si="16"/>
        <v>0</v>
      </c>
      <c r="L195" s="75"/>
      <c r="M195" s="72"/>
    </row>
    <row r="196" spans="1:13" ht="19.5" customHeight="1">
      <c r="A196" s="21" t="s">
        <v>441</v>
      </c>
      <c r="B196" s="18" t="s">
        <v>94</v>
      </c>
      <c r="C196" s="18" t="s">
        <v>124</v>
      </c>
      <c r="D196" s="18" t="s">
        <v>440</v>
      </c>
      <c r="E196" s="18" t="s">
        <v>116</v>
      </c>
      <c r="F196" s="18"/>
      <c r="G196" s="82">
        <f>H196+I196+J196+K196</f>
        <v>2049.3</v>
      </c>
      <c r="H196" s="81">
        <f t="shared" si="16"/>
        <v>0</v>
      </c>
      <c r="I196" s="81">
        <f t="shared" si="16"/>
        <v>0</v>
      </c>
      <c r="J196" s="82">
        <f t="shared" si="16"/>
        <v>2049.3</v>
      </c>
      <c r="K196" s="81">
        <f t="shared" si="16"/>
        <v>0</v>
      </c>
      <c r="L196" s="72"/>
      <c r="M196" s="78"/>
    </row>
    <row r="197" spans="1:13" ht="19.5" customHeight="1">
      <c r="A197" s="13" t="s">
        <v>36</v>
      </c>
      <c r="B197" s="18" t="s">
        <v>94</v>
      </c>
      <c r="C197" s="18" t="s">
        <v>124</v>
      </c>
      <c r="D197" s="18" t="s">
        <v>440</v>
      </c>
      <c r="E197" s="18" t="s">
        <v>115</v>
      </c>
      <c r="F197" s="18" t="s">
        <v>58</v>
      </c>
      <c r="G197" s="84">
        <f>H197+I197+J197+K197</f>
        <v>2049.3</v>
      </c>
      <c r="H197" s="83">
        <v>0</v>
      </c>
      <c r="I197" s="83">
        <f>2049.3-2049.3</f>
        <v>0</v>
      </c>
      <c r="J197" s="84">
        <v>2049.3</v>
      </c>
      <c r="K197" s="83">
        <v>0</v>
      </c>
      <c r="L197" s="72"/>
      <c r="M197" s="78"/>
    </row>
    <row r="198" spans="1:13" ht="40.5" customHeight="1">
      <c r="A198" s="16" t="s">
        <v>371</v>
      </c>
      <c r="B198" s="17" t="s">
        <v>94</v>
      </c>
      <c r="C198" s="17" t="s">
        <v>124</v>
      </c>
      <c r="D198" s="17" t="s">
        <v>422</v>
      </c>
      <c r="E198" s="17" t="s">
        <v>148</v>
      </c>
      <c r="F198" s="17"/>
      <c r="G198" s="75">
        <f>H198+I198+J198+K198</f>
        <v>12993.47211</v>
      </c>
      <c r="H198" s="105">
        <f>H199+H201+H203+H207+H209+H205+H211+H213</f>
        <v>0</v>
      </c>
      <c r="I198" s="105">
        <f>I199+I201+I203+I207+I209+I205+I211+I213</f>
        <v>0</v>
      </c>
      <c r="J198" s="103">
        <f>J199+J201+J203+J207+J209+J205+J211+J213</f>
        <v>6769.860000000001</v>
      </c>
      <c r="K198" s="75">
        <f>K199+K201+K203+K207+K209+K205+K211+K213</f>
        <v>6223.61211</v>
      </c>
      <c r="L198" s="72"/>
      <c r="M198" s="72"/>
    </row>
    <row r="199" spans="1:13" ht="38.25" customHeight="1">
      <c r="A199" s="21" t="s">
        <v>185</v>
      </c>
      <c r="B199" s="20" t="s">
        <v>94</v>
      </c>
      <c r="C199" s="20" t="s">
        <v>124</v>
      </c>
      <c r="D199" s="20" t="s">
        <v>370</v>
      </c>
      <c r="E199" s="20" t="s">
        <v>115</v>
      </c>
      <c r="F199" s="20" t="s">
        <v>49</v>
      </c>
      <c r="G199" s="79">
        <f>G200</f>
        <v>2547.8263399999996</v>
      </c>
      <c r="H199" s="81">
        <f>H200</f>
        <v>0</v>
      </c>
      <c r="I199" s="81">
        <f>I200</f>
        <v>0</v>
      </c>
      <c r="J199" s="82">
        <f>J200</f>
        <v>1944.1</v>
      </c>
      <c r="K199" s="79">
        <f>K200</f>
        <v>603.7263399999999</v>
      </c>
      <c r="L199" s="72"/>
      <c r="M199" s="72"/>
    </row>
    <row r="200" spans="1:13" ht="16.5" customHeight="1">
      <c r="A200" s="13" t="s">
        <v>149</v>
      </c>
      <c r="B200" s="18" t="s">
        <v>94</v>
      </c>
      <c r="C200" s="18" t="s">
        <v>124</v>
      </c>
      <c r="D200" s="20" t="s">
        <v>370</v>
      </c>
      <c r="E200" s="18" t="s">
        <v>115</v>
      </c>
      <c r="F200" s="18" t="s">
        <v>53</v>
      </c>
      <c r="G200" s="71">
        <f>H200+I200+J200+K200</f>
        <v>2547.8263399999996</v>
      </c>
      <c r="H200" s="83">
        <v>0</v>
      </c>
      <c r="I200" s="83">
        <f>1074-499.76+850.7-1424.94</f>
        <v>0</v>
      </c>
      <c r="J200" s="84">
        <f>862.6+1424.94-343.44</f>
        <v>1944.1</v>
      </c>
      <c r="K200" s="71">
        <f>343.44+278.477-18.19066</f>
        <v>603.7263399999999</v>
      </c>
      <c r="L200" s="72"/>
      <c r="M200" s="72"/>
    </row>
    <row r="201" spans="1:13" ht="51.75" customHeight="1">
      <c r="A201" s="13" t="s">
        <v>187</v>
      </c>
      <c r="B201" s="20" t="s">
        <v>94</v>
      </c>
      <c r="C201" s="20" t="s">
        <v>124</v>
      </c>
      <c r="D201" s="20" t="s">
        <v>372</v>
      </c>
      <c r="E201" s="20" t="s">
        <v>115</v>
      </c>
      <c r="F201" s="20" t="s">
        <v>49</v>
      </c>
      <c r="G201" s="79">
        <f>G202</f>
        <v>105.49045999999998</v>
      </c>
      <c r="H201" s="81">
        <f>H202</f>
        <v>0</v>
      </c>
      <c r="I201" s="81">
        <f>I202</f>
        <v>0</v>
      </c>
      <c r="J201" s="81">
        <f>J202</f>
        <v>4.999999999999986</v>
      </c>
      <c r="K201" s="79">
        <f>K202</f>
        <v>100.49046</v>
      </c>
      <c r="L201" s="72"/>
      <c r="M201" s="72"/>
    </row>
    <row r="202" spans="1:13" ht="18" customHeight="1">
      <c r="A202" s="13" t="s">
        <v>149</v>
      </c>
      <c r="B202" s="18" t="s">
        <v>94</v>
      </c>
      <c r="C202" s="18" t="s">
        <v>124</v>
      </c>
      <c r="D202" s="20" t="s">
        <v>372</v>
      </c>
      <c r="E202" s="18" t="s">
        <v>115</v>
      </c>
      <c r="F202" s="18" t="s">
        <v>54</v>
      </c>
      <c r="G202" s="71">
        <f>H202+I202+J202+K202</f>
        <v>105.49045999999998</v>
      </c>
      <c r="H202" s="83">
        <v>0</v>
      </c>
      <c r="I202" s="83">
        <f>13+10.7+85.6+18.2-127.5</f>
        <v>0</v>
      </c>
      <c r="J202" s="83">
        <f>17.7+127.5-50.30366-1.67809-88.21825</f>
        <v>4.999999999999986</v>
      </c>
      <c r="K202" s="71">
        <f>88.21825+12.27221</f>
        <v>100.49046</v>
      </c>
      <c r="L202" s="72"/>
      <c r="M202" s="72"/>
    </row>
    <row r="203" spans="1:13" ht="28.5" customHeight="1">
      <c r="A203" s="13" t="s">
        <v>362</v>
      </c>
      <c r="B203" s="20" t="s">
        <v>94</v>
      </c>
      <c r="C203" s="20" t="s">
        <v>124</v>
      </c>
      <c r="D203" s="20" t="s">
        <v>389</v>
      </c>
      <c r="E203" s="20" t="s">
        <v>115</v>
      </c>
      <c r="F203" s="20" t="s">
        <v>49</v>
      </c>
      <c r="G203" s="81">
        <f>G204</f>
        <v>321</v>
      </c>
      <c r="H203" s="81">
        <f>H204</f>
        <v>0</v>
      </c>
      <c r="I203" s="81">
        <f>I204</f>
        <v>0</v>
      </c>
      <c r="J203" s="81">
        <f>J204</f>
        <v>321</v>
      </c>
      <c r="K203" s="81">
        <f>K204</f>
        <v>0</v>
      </c>
      <c r="L203" s="72"/>
      <c r="M203" s="72"/>
    </row>
    <row r="204" spans="1:13" ht="18" customHeight="1">
      <c r="A204" s="13" t="s">
        <v>149</v>
      </c>
      <c r="B204" s="18" t="s">
        <v>94</v>
      </c>
      <c r="C204" s="18" t="s">
        <v>124</v>
      </c>
      <c r="D204" s="20" t="s">
        <v>389</v>
      </c>
      <c r="E204" s="18" t="s">
        <v>115</v>
      </c>
      <c r="F204" s="18" t="s">
        <v>53</v>
      </c>
      <c r="G204" s="83">
        <f>H204+I204+J204+K204</f>
        <v>321</v>
      </c>
      <c r="H204" s="81">
        <f>350-350</f>
        <v>0</v>
      </c>
      <c r="I204" s="83">
        <f>350+15-365</f>
        <v>0</v>
      </c>
      <c r="J204" s="81">
        <f>365-44</f>
        <v>321</v>
      </c>
      <c r="K204" s="81">
        <f>44-44</f>
        <v>0</v>
      </c>
      <c r="L204" s="72"/>
      <c r="M204" s="72"/>
    </row>
    <row r="205" spans="1:13" ht="30" customHeight="1">
      <c r="A205" s="13" t="s">
        <v>437</v>
      </c>
      <c r="B205" s="20" t="s">
        <v>94</v>
      </c>
      <c r="C205" s="20" t="s">
        <v>124</v>
      </c>
      <c r="D205" s="20" t="s">
        <v>438</v>
      </c>
      <c r="E205" s="20" t="s">
        <v>115</v>
      </c>
      <c r="F205" s="20" t="s">
        <v>49</v>
      </c>
      <c r="G205" s="80">
        <f>G206</f>
        <v>499.76</v>
      </c>
      <c r="H205" s="81">
        <f>H206</f>
        <v>0</v>
      </c>
      <c r="I205" s="81">
        <f>I206</f>
        <v>0</v>
      </c>
      <c r="J205" s="80">
        <f>J206</f>
        <v>499.76</v>
      </c>
      <c r="K205" s="81">
        <f>K206</f>
        <v>0</v>
      </c>
      <c r="L205" s="72"/>
      <c r="M205" s="72"/>
    </row>
    <row r="206" spans="1:13" ht="18" customHeight="1">
      <c r="A206" s="13" t="s">
        <v>149</v>
      </c>
      <c r="B206" s="18" t="s">
        <v>94</v>
      </c>
      <c r="C206" s="18" t="s">
        <v>124</v>
      </c>
      <c r="D206" s="20" t="s">
        <v>438</v>
      </c>
      <c r="E206" s="18" t="s">
        <v>115</v>
      </c>
      <c r="F206" s="18" t="s">
        <v>53</v>
      </c>
      <c r="G206" s="98">
        <f>H206+I206+J206+K206</f>
        <v>499.76</v>
      </c>
      <c r="H206" s="81">
        <f>350-350</f>
        <v>0</v>
      </c>
      <c r="I206" s="83">
        <f>499.76-499.76</f>
        <v>0</v>
      </c>
      <c r="J206" s="80">
        <v>499.76</v>
      </c>
      <c r="K206" s="81">
        <v>0</v>
      </c>
      <c r="L206" s="72"/>
      <c r="M206" s="72"/>
    </row>
    <row r="207" spans="1:13" ht="60.75" customHeight="1">
      <c r="A207" s="13" t="s">
        <v>326</v>
      </c>
      <c r="B207" s="18" t="s">
        <v>94</v>
      </c>
      <c r="C207" s="18" t="s">
        <v>124</v>
      </c>
      <c r="D207" s="20" t="s">
        <v>411</v>
      </c>
      <c r="E207" s="18" t="s">
        <v>115</v>
      </c>
      <c r="F207" s="18" t="s">
        <v>49</v>
      </c>
      <c r="G207" s="79">
        <f>G208</f>
        <v>8949.99998</v>
      </c>
      <c r="H207" s="81">
        <f>H208</f>
        <v>0</v>
      </c>
      <c r="I207" s="81">
        <f>I208</f>
        <v>0</v>
      </c>
      <c r="J207" s="81">
        <f>J208</f>
        <v>4000</v>
      </c>
      <c r="K207" s="79">
        <f>K208</f>
        <v>4949.99998</v>
      </c>
      <c r="L207" s="72"/>
      <c r="M207" s="72"/>
    </row>
    <row r="208" spans="1:13" ht="18" customHeight="1">
      <c r="A208" s="13" t="s">
        <v>149</v>
      </c>
      <c r="B208" s="18" t="s">
        <v>94</v>
      </c>
      <c r="C208" s="18" t="s">
        <v>124</v>
      </c>
      <c r="D208" s="20" t="s">
        <v>411</v>
      </c>
      <c r="E208" s="18" t="s">
        <v>115</v>
      </c>
      <c r="F208" s="18" t="s">
        <v>53</v>
      </c>
      <c r="G208" s="71">
        <f>H208+I208+J208+K208</f>
        <v>8949.99998</v>
      </c>
      <c r="H208" s="83">
        <f>350-350</f>
        <v>0</v>
      </c>
      <c r="I208" s="83">
        <f>4000-4000</f>
        <v>0</v>
      </c>
      <c r="J208" s="81">
        <v>4000</v>
      </c>
      <c r="K208" s="79">
        <v>4949.99998</v>
      </c>
      <c r="L208" s="72"/>
      <c r="M208" s="72"/>
    </row>
    <row r="209" spans="1:13" ht="45" customHeight="1">
      <c r="A209" s="13" t="s">
        <v>427</v>
      </c>
      <c r="B209" s="18" t="s">
        <v>94</v>
      </c>
      <c r="C209" s="18" t="s">
        <v>124</v>
      </c>
      <c r="D209" s="20" t="s">
        <v>426</v>
      </c>
      <c r="E209" s="18" t="s">
        <v>115</v>
      </c>
      <c r="F209" s="18" t="s">
        <v>49</v>
      </c>
      <c r="G209" s="81">
        <f>G210</f>
        <v>79</v>
      </c>
      <c r="H209" s="81">
        <f>H210</f>
        <v>0</v>
      </c>
      <c r="I209" s="83">
        <f>I210</f>
        <v>0</v>
      </c>
      <c r="J209" s="81">
        <f>J210</f>
        <v>0</v>
      </c>
      <c r="K209" s="81">
        <f>K210</f>
        <v>79</v>
      </c>
      <c r="L209" s="72"/>
      <c r="M209" s="72"/>
    </row>
    <row r="210" spans="1:13" ht="18" customHeight="1">
      <c r="A210" s="13" t="s">
        <v>149</v>
      </c>
      <c r="B210" s="18" t="s">
        <v>94</v>
      </c>
      <c r="C210" s="18" t="s">
        <v>124</v>
      </c>
      <c r="D210" s="20" t="s">
        <v>426</v>
      </c>
      <c r="E210" s="18" t="s">
        <v>115</v>
      </c>
      <c r="F210" s="18" t="s">
        <v>54</v>
      </c>
      <c r="G210" s="83">
        <f>H210+I210+J210+K210</f>
        <v>79</v>
      </c>
      <c r="H210" s="81">
        <v>0</v>
      </c>
      <c r="I210" s="83">
        <f>79-79</f>
        <v>0</v>
      </c>
      <c r="J210" s="81">
        <f>79-79</f>
        <v>0</v>
      </c>
      <c r="K210" s="81">
        <v>79</v>
      </c>
      <c r="L210" s="72"/>
      <c r="M210" s="72"/>
    </row>
    <row r="211" spans="1:13" ht="30" customHeight="1">
      <c r="A211" s="13" t="s">
        <v>453</v>
      </c>
      <c r="B211" s="18" t="s">
        <v>94</v>
      </c>
      <c r="C211" s="18" t="s">
        <v>124</v>
      </c>
      <c r="D211" s="20" t="s">
        <v>454</v>
      </c>
      <c r="E211" s="18" t="s">
        <v>115</v>
      </c>
      <c r="F211" s="18"/>
      <c r="G211" s="79">
        <f>G212</f>
        <v>340.39533</v>
      </c>
      <c r="H211" s="81">
        <f>H212</f>
        <v>0</v>
      </c>
      <c r="I211" s="83">
        <f>I212</f>
        <v>0</v>
      </c>
      <c r="J211" s="81">
        <f>J212</f>
        <v>0</v>
      </c>
      <c r="K211" s="79">
        <f>K212</f>
        <v>340.39533</v>
      </c>
      <c r="L211" s="72"/>
      <c r="M211" s="72"/>
    </row>
    <row r="212" spans="1:13" ht="18" customHeight="1">
      <c r="A212" s="13" t="s">
        <v>149</v>
      </c>
      <c r="B212" s="18" t="s">
        <v>94</v>
      </c>
      <c r="C212" s="18" t="s">
        <v>124</v>
      </c>
      <c r="D212" s="20" t="s">
        <v>454</v>
      </c>
      <c r="E212" s="18" t="s">
        <v>115</v>
      </c>
      <c r="F212" s="18" t="s">
        <v>53</v>
      </c>
      <c r="G212" s="71">
        <f>H212+I212+J212+K212</f>
        <v>340.39533</v>
      </c>
      <c r="H212" s="81">
        <v>0</v>
      </c>
      <c r="I212" s="83">
        <f>79-79</f>
        <v>0</v>
      </c>
      <c r="J212" s="81">
        <f>350-350</f>
        <v>0</v>
      </c>
      <c r="K212" s="79">
        <f>350-9.60467</f>
        <v>340.39533</v>
      </c>
      <c r="L212" s="72"/>
      <c r="M212" s="72"/>
    </row>
    <row r="213" spans="1:13" ht="37.5" customHeight="1">
      <c r="A213" s="13" t="s">
        <v>456</v>
      </c>
      <c r="B213" s="18" t="s">
        <v>94</v>
      </c>
      <c r="C213" s="18" t="s">
        <v>124</v>
      </c>
      <c r="D213" s="20" t="s">
        <v>455</v>
      </c>
      <c r="E213" s="18" t="s">
        <v>115</v>
      </c>
      <c r="F213" s="18"/>
      <c r="G213" s="81">
        <f>G214</f>
        <v>150</v>
      </c>
      <c r="H213" s="81">
        <f>H214</f>
        <v>0</v>
      </c>
      <c r="I213" s="83">
        <f>I214</f>
        <v>0</v>
      </c>
      <c r="J213" s="81">
        <f>J214</f>
        <v>0</v>
      </c>
      <c r="K213" s="81">
        <f>K214</f>
        <v>150</v>
      </c>
      <c r="L213" s="72"/>
      <c r="M213" s="72"/>
    </row>
    <row r="214" spans="1:13" ht="18" customHeight="1">
      <c r="A214" s="14" t="s">
        <v>23</v>
      </c>
      <c r="B214" s="18" t="s">
        <v>94</v>
      </c>
      <c r="C214" s="18" t="s">
        <v>124</v>
      </c>
      <c r="D214" s="20" t="s">
        <v>455</v>
      </c>
      <c r="E214" s="18" t="s">
        <v>115</v>
      </c>
      <c r="F214" s="18" t="s">
        <v>51</v>
      </c>
      <c r="G214" s="83">
        <f>H214+I214+J214+K214</f>
        <v>150</v>
      </c>
      <c r="H214" s="81">
        <v>0</v>
      </c>
      <c r="I214" s="83">
        <f>79-79</f>
        <v>0</v>
      </c>
      <c r="J214" s="81">
        <f>150-150</f>
        <v>0</v>
      </c>
      <c r="K214" s="81">
        <v>150</v>
      </c>
      <c r="L214" s="72"/>
      <c r="M214" s="72"/>
    </row>
    <row r="215" spans="1:13" ht="96.75" customHeight="1" hidden="1">
      <c r="A215" s="27" t="s">
        <v>192</v>
      </c>
      <c r="B215" s="18" t="s">
        <v>94</v>
      </c>
      <c r="C215" s="18" t="s">
        <v>124</v>
      </c>
      <c r="D215" s="17" t="s">
        <v>193</v>
      </c>
      <c r="E215" s="17" t="s">
        <v>42</v>
      </c>
      <c r="F215" s="17"/>
      <c r="G215" s="75">
        <f>G216</f>
        <v>0</v>
      </c>
      <c r="H215" s="75">
        <f>H216</f>
        <v>0</v>
      </c>
      <c r="I215" s="75">
        <f>I216</f>
        <v>0</v>
      </c>
      <c r="J215" s="75">
        <f>J216</f>
        <v>0</v>
      </c>
      <c r="K215" s="75">
        <f>K216</f>
        <v>0</v>
      </c>
      <c r="L215" s="72"/>
      <c r="M215" s="72"/>
    </row>
    <row r="216" spans="1:13" ht="14.25" customHeight="1" hidden="1">
      <c r="A216" s="13" t="s">
        <v>122</v>
      </c>
      <c r="B216" s="18" t="s">
        <v>94</v>
      </c>
      <c r="C216" s="18" t="s">
        <v>124</v>
      </c>
      <c r="D216" s="18" t="s">
        <v>193</v>
      </c>
      <c r="E216" s="18" t="s">
        <v>157</v>
      </c>
      <c r="F216" s="18" t="s">
        <v>86</v>
      </c>
      <c r="G216" s="71">
        <f>H216+I216+J216+K216</f>
        <v>0</v>
      </c>
      <c r="H216" s="71">
        <v>0</v>
      </c>
      <c r="I216" s="71">
        <v>0</v>
      </c>
      <c r="J216" s="71">
        <v>0</v>
      </c>
      <c r="K216" s="71">
        <v>0</v>
      </c>
      <c r="L216" s="72"/>
      <c r="M216" s="72"/>
    </row>
    <row r="217" spans="1:13" ht="97.5" customHeight="1" hidden="1">
      <c r="A217" s="27" t="s">
        <v>192</v>
      </c>
      <c r="B217" s="18" t="s">
        <v>94</v>
      </c>
      <c r="C217" s="18" t="s">
        <v>124</v>
      </c>
      <c r="D217" s="17" t="s">
        <v>344</v>
      </c>
      <c r="E217" s="17" t="s">
        <v>42</v>
      </c>
      <c r="F217" s="17"/>
      <c r="G217" s="75">
        <f>G218</f>
        <v>0</v>
      </c>
      <c r="H217" s="75">
        <f>H218</f>
        <v>0</v>
      </c>
      <c r="I217" s="75">
        <f>I218</f>
        <v>0</v>
      </c>
      <c r="J217" s="75">
        <f>J218</f>
        <v>0</v>
      </c>
      <c r="K217" s="75">
        <f>K218</f>
        <v>0</v>
      </c>
      <c r="L217" s="72"/>
      <c r="M217" s="72"/>
    </row>
    <row r="218" spans="1:13" ht="14.25" customHeight="1" hidden="1">
      <c r="A218" s="13" t="s">
        <v>122</v>
      </c>
      <c r="B218" s="18" t="s">
        <v>94</v>
      </c>
      <c r="C218" s="18" t="s">
        <v>124</v>
      </c>
      <c r="D218" s="18" t="s">
        <v>344</v>
      </c>
      <c r="E218" s="18" t="s">
        <v>157</v>
      </c>
      <c r="F218" s="18" t="s">
        <v>86</v>
      </c>
      <c r="G218" s="71">
        <f>H218+I218+J218+K218</f>
        <v>0</v>
      </c>
      <c r="H218" s="71">
        <v>0</v>
      </c>
      <c r="I218" s="71">
        <f>800-800</f>
        <v>0</v>
      </c>
      <c r="J218" s="71">
        <v>0</v>
      </c>
      <c r="K218" s="71">
        <f>800-800</f>
        <v>0</v>
      </c>
      <c r="L218" s="72"/>
      <c r="M218" s="72"/>
    </row>
    <row r="219" spans="1:13" ht="14.25" customHeight="1" hidden="1">
      <c r="A219" s="13" t="s">
        <v>424</v>
      </c>
      <c r="B219" s="18" t="s">
        <v>94</v>
      </c>
      <c r="C219" s="18" t="s">
        <v>423</v>
      </c>
      <c r="D219" s="17" t="s">
        <v>425</v>
      </c>
      <c r="E219" s="18" t="s">
        <v>151</v>
      </c>
      <c r="F219" s="18"/>
      <c r="G219" s="75">
        <f>G220</f>
        <v>0</v>
      </c>
      <c r="H219" s="75">
        <f>H220</f>
        <v>0</v>
      </c>
      <c r="I219" s="75">
        <f>I220</f>
        <v>0</v>
      </c>
      <c r="J219" s="75">
        <f>J220</f>
        <v>0</v>
      </c>
      <c r="K219" s="75">
        <f>K220</f>
        <v>0</v>
      </c>
      <c r="L219" s="72"/>
      <c r="M219" s="72"/>
    </row>
    <row r="220" spans="1:13" ht="14.25" customHeight="1" hidden="1">
      <c r="A220" s="13" t="s">
        <v>149</v>
      </c>
      <c r="B220" s="18" t="s">
        <v>94</v>
      </c>
      <c r="C220" s="18" t="s">
        <v>423</v>
      </c>
      <c r="D220" s="18" t="s">
        <v>425</v>
      </c>
      <c r="E220" s="18" t="s">
        <v>118</v>
      </c>
      <c r="F220" s="18" t="s">
        <v>53</v>
      </c>
      <c r="G220" s="71">
        <f>H220+I220+J220+K220</f>
        <v>0</v>
      </c>
      <c r="H220" s="71">
        <v>0</v>
      </c>
      <c r="I220" s="71">
        <f>1647.4-150-20-99.5-1377.9</f>
        <v>0</v>
      </c>
      <c r="J220" s="71">
        <f>1377.9-1377.9</f>
        <v>0</v>
      </c>
      <c r="K220" s="71">
        <f>1377.9-1377.9</f>
        <v>0</v>
      </c>
      <c r="L220" s="72"/>
      <c r="M220" s="72"/>
    </row>
    <row r="221" spans="1:13" ht="18" customHeight="1">
      <c r="A221" s="22" t="s">
        <v>96</v>
      </c>
      <c r="B221" s="25" t="s">
        <v>94</v>
      </c>
      <c r="C221" s="25" t="s">
        <v>67</v>
      </c>
      <c r="D221" s="17" t="s">
        <v>182</v>
      </c>
      <c r="E221" s="25" t="s">
        <v>68</v>
      </c>
      <c r="F221" s="25"/>
      <c r="G221" s="69">
        <f>H221+I221+J221+K221</f>
        <v>16982.052040000002</v>
      </c>
      <c r="H221" s="69">
        <f>H222+H226+H244+H248+H249+H246+H245</f>
        <v>1798.24667</v>
      </c>
      <c r="I221" s="69">
        <f>I222+I226+I244+I248+I249+I246+I245</f>
        <v>1720.27315</v>
      </c>
      <c r="J221" s="69">
        <f>J222+J226+J244+J248+J249+J246+J245</f>
        <v>3459.5597499999994</v>
      </c>
      <c r="K221" s="69">
        <f>K222+K226+K244+K248+K249+K246+K245</f>
        <v>10003.97247</v>
      </c>
      <c r="L221" s="70"/>
      <c r="M221" s="70"/>
    </row>
    <row r="222" spans="1:13" ht="15" customHeight="1">
      <c r="A222" s="13" t="s">
        <v>17</v>
      </c>
      <c r="B222" s="17"/>
      <c r="C222" s="17"/>
      <c r="D222" s="17"/>
      <c r="E222" s="17"/>
      <c r="F222" s="18" t="s">
        <v>43</v>
      </c>
      <c r="G222" s="71">
        <f>H222+I222+J222+K222</f>
        <v>1076.9638300000001</v>
      </c>
      <c r="H222" s="71">
        <f>H223+H225</f>
        <v>202.93019000000004</v>
      </c>
      <c r="I222" s="71">
        <f>I223+I225</f>
        <v>315.35978</v>
      </c>
      <c r="J222" s="71">
        <f>J223+J225</f>
        <v>306.65539</v>
      </c>
      <c r="K222" s="71">
        <f>K223+K225+K224</f>
        <v>252.01846999999998</v>
      </c>
      <c r="L222" s="77"/>
      <c r="M222" s="77"/>
    </row>
    <row r="223" spans="1:13" ht="13.5" customHeight="1">
      <c r="A223" s="14" t="s">
        <v>18</v>
      </c>
      <c r="B223" s="17"/>
      <c r="C223" s="17"/>
      <c r="D223" s="17"/>
      <c r="E223" s="17"/>
      <c r="F223" s="18" t="s">
        <v>44</v>
      </c>
      <c r="G223" s="71">
        <f>H223+I223+J223+K223</f>
        <v>830.90376</v>
      </c>
      <c r="H223" s="71">
        <f>H348</f>
        <v>159.29619000000002</v>
      </c>
      <c r="I223" s="71">
        <f>I348</f>
        <v>240.69764</v>
      </c>
      <c r="J223" s="71">
        <f>J348</f>
        <v>238.49995</v>
      </c>
      <c r="K223" s="71">
        <f>K348</f>
        <v>192.40998</v>
      </c>
      <c r="L223" s="77"/>
      <c r="M223" s="77"/>
    </row>
    <row r="224" spans="1:13" ht="15" customHeight="1" hidden="1">
      <c r="A224" s="14" t="s">
        <v>19</v>
      </c>
      <c r="B224" s="17"/>
      <c r="C224" s="17"/>
      <c r="D224" s="17"/>
      <c r="E224" s="17"/>
      <c r="F224" s="18" t="s">
        <v>45</v>
      </c>
      <c r="G224" s="71">
        <f>K224</f>
        <v>0</v>
      </c>
      <c r="H224" s="71"/>
      <c r="I224" s="71"/>
      <c r="J224" s="71"/>
      <c r="K224" s="71">
        <f>K349</f>
        <v>0</v>
      </c>
      <c r="L224" s="77"/>
      <c r="M224" s="77"/>
    </row>
    <row r="225" spans="1:13" ht="13.5" customHeight="1">
      <c r="A225" s="14" t="s">
        <v>20</v>
      </c>
      <c r="B225" s="17"/>
      <c r="C225" s="17"/>
      <c r="D225" s="17"/>
      <c r="E225" s="17"/>
      <c r="F225" s="18" t="s">
        <v>46</v>
      </c>
      <c r="G225" s="71">
        <f>H225+I225+J225+K225</f>
        <v>246.06007</v>
      </c>
      <c r="H225" s="97">
        <f>H350</f>
        <v>43.634</v>
      </c>
      <c r="I225" s="71">
        <f>I350</f>
        <v>74.66214000000001</v>
      </c>
      <c r="J225" s="71">
        <f>J350</f>
        <v>68.15544</v>
      </c>
      <c r="K225" s="71">
        <f>K350</f>
        <v>59.60849</v>
      </c>
      <c r="L225" s="77"/>
      <c r="M225" s="77"/>
    </row>
    <row r="226" spans="1:13" ht="14.25" customHeight="1">
      <c r="A226" s="14" t="s">
        <v>21</v>
      </c>
      <c r="B226" s="17"/>
      <c r="C226" s="17"/>
      <c r="D226" s="17"/>
      <c r="E226" s="17"/>
      <c r="F226" s="18" t="s">
        <v>49</v>
      </c>
      <c r="G226" s="71">
        <f>H226+I226+J226+K226</f>
        <v>15864.458849999999</v>
      </c>
      <c r="H226" s="71">
        <f>H227+H229+H234+H240+H228+H247</f>
        <v>1595.31648</v>
      </c>
      <c r="I226" s="71">
        <f>I227+I229+I234+I240+I228+I247</f>
        <v>1364.28401</v>
      </c>
      <c r="J226" s="71">
        <f>J227+J229+J234+J240+J228+J247</f>
        <v>3152.9043599999995</v>
      </c>
      <c r="K226" s="71">
        <f>K227+K229+K234+K240+K228+K247</f>
        <v>9751.954</v>
      </c>
      <c r="L226" s="77"/>
      <c r="M226" s="77"/>
    </row>
    <row r="227" spans="1:13" ht="13.5" customHeight="1" hidden="1">
      <c r="A227" s="14" t="s">
        <v>22</v>
      </c>
      <c r="B227" s="17"/>
      <c r="C227" s="17"/>
      <c r="D227" s="17"/>
      <c r="E227" s="17"/>
      <c r="F227" s="18" t="s">
        <v>50</v>
      </c>
      <c r="G227" s="71">
        <f>H227+I227+J227+K227</f>
        <v>0</v>
      </c>
      <c r="H227" s="71"/>
      <c r="I227" s="71"/>
      <c r="J227" s="71"/>
      <c r="K227" s="71"/>
      <c r="L227" s="77"/>
      <c r="M227" s="77"/>
    </row>
    <row r="228" spans="1:13" ht="13.5" customHeight="1" hidden="1">
      <c r="A228" s="14" t="s">
        <v>23</v>
      </c>
      <c r="B228" s="17"/>
      <c r="C228" s="17"/>
      <c r="D228" s="17"/>
      <c r="E228" s="17"/>
      <c r="F228" s="18" t="s">
        <v>51</v>
      </c>
      <c r="G228" s="71">
        <f>H228+I228+J228+K228</f>
        <v>0</v>
      </c>
      <c r="H228" s="71"/>
      <c r="I228" s="71"/>
      <c r="J228" s="71"/>
      <c r="K228" s="71"/>
      <c r="L228" s="77"/>
      <c r="M228" s="77"/>
    </row>
    <row r="229" spans="1:13" ht="12" customHeight="1">
      <c r="A229" s="14" t="s">
        <v>24</v>
      </c>
      <c r="B229" s="17"/>
      <c r="C229" s="17"/>
      <c r="D229" s="17"/>
      <c r="E229" s="17"/>
      <c r="F229" s="18" t="s">
        <v>52</v>
      </c>
      <c r="G229" s="71">
        <f>H229+I229+J229+K229</f>
        <v>4038.07449</v>
      </c>
      <c r="H229" s="71">
        <f>H231+H232+H233</f>
        <v>1302.98505</v>
      </c>
      <c r="I229" s="71">
        <f>I231+I232+I233</f>
        <v>588.3753300000001</v>
      </c>
      <c r="J229" s="71">
        <f>J231+J232+J233</f>
        <v>524.12414</v>
      </c>
      <c r="K229" s="71">
        <f>K231+K232+K233</f>
        <v>1622.58997</v>
      </c>
      <c r="L229" s="77"/>
      <c r="M229" s="77"/>
    </row>
    <row r="230" spans="1:13" ht="13.5" customHeight="1">
      <c r="A230" s="14" t="s">
        <v>25</v>
      </c>
      <c r="B230" s="17"/>
      <c r="C230" s="17"/>
      <c r="D230" s="17"/>
      <c r="E230" s="17"/>
      <c r="F230" s="18"/>
      <c r="G230" s="71"/>
      <c r="H230" s="71"/>
      <c r="I230" s="71"/>
      <c r="J230" s="71"/>
      <c r="K230" s="71"/>
      <c r="L230" s="77"/>
      <c r="M230" s="77"/>
    </row>
    <row r="231" spans="1:13" ht="12.75" customHeight="1" hidden="1">
      <c r="A231" s="14" t="s">
        <v>26</v>
      </c>
      <c r="B231" s="17"/>
      <c r="C231" s="17"/>
      <c r="D231" s="17"/>
      <c r="E231" s="17"/>
      <c r="F231" s="18" t="s">
        <v>52</v>
      </c>
      <c r="G231" s="71">
        <f>H231+I231+J231+K231</f>
        <v>0</v>
      </c>
      <c r="H231" s="71"/>
      <c r="I231" s="71"/>
      <c r="J231" s="71"/>
      <c r="K231" s="71"/>
      <c r="L231" s="77"/>
      <c r="M231" s="77"/>
    </row>
    <row r="232" spans="1:13" ht="12" customHeight="1">
      <c r="A232" s="14" t="s">
        <v>27</v>
      </c>
      <c r="B232" s="17"/>
      <c r="C232" s="17"/>
      <c r="D232" s="17"/>
      <c r="E232" s="17"/>
      <c r="F232" s="18" t="s">
        <v>52</v>
      </c>
      <c r="G232" s="71">
        <f>H232+J232+I232+K232</f>
        <v>4038.07449</v>
      </c>
      <c r="H232" s="71">
        <f>H301</f>
        <v>1302.98505</v>
      </c>
      <c r="I232" s="71">
        <f>I301</f>
        <v>588.3753300000001</v>
      </c>
      <c r="J232" s="71">
        <f>J301</f>
        <v>524.12414</v>
      </c>
      <c r="K232" s="71">
        <f>K301</f>
        <v>1622.58997</v>
      </c>
      <c r="L232" s="77"/>
      <c r="M232" s="77"/>
    </row>
    <row r="233" spans="1:13" ht="12" customHeight="1" hidden="1">
      <c r="A233" s="14" t="s">
        <v>28</v>
      </c>
      <c r="B233" s="17"/>
      <c r="C233" s="17"/>
      <c r="D233" s="17"/>
      <c r="E233" s="17"/>
      <c r="F233" s="18" t="s">
        <v>52</v>
      </c>
      <c r="G233" s="71">
        <f>H233+I233+J233+K233</f>
        <v>0</v>
      </c>
      <c r="H233" s="71"/>
      <c r="I233" s="71"/>
      <c r="J233" s="71"/>
      <c r="K233" s="71"/>
      <c r="L233" s="77"/>
      <c r="M233" s="77"/>
    </row>
    <row r="234" spans="1:13" ht="10.5" customHeight="1">
      <c r="A234" s="14" t="s">
        <v>149</v>
      </c>
      <c r="B234" s="17"/>
      <c r="C234" s="17"/>
      <c r="D234" s="17"/>
      <c r="E234" s="17"/>
      <c r="F234" s="18" t="s">
        <v>53</v>
      </c>
      <c r="G234" s="71">
        <f>H234+I234+J234+K234</f>
        <v>11325.93636</v>
      </c>
      <c r="H234" s="71">
        <f>H236+H237+H239+H238</f>
        <v>290.53143</v>
      </c>
      <c r="I234" s="71">
        <f>I236+I237+I239+I238</f>
        <v>775.26068</v>
      </c>
      <c r="J234" s="71">
        <f>J236+J237+J239+J238</f>
        <v>2628.7802199999996</v>
      </c>
      <c r="K234" s="71">
        <f>K237+K236+K239+K238</f>
        <v>7631.36403</v>
      </c>
      <c r="L234" s="77"/>
      <c r="M234" s="77"/>
    </row>
    <row r="235" spans="1:13" ht="13.5" customHeight="1">
      <c r="A235" s="14" t="s">
        <v>25</v>
      </c>
      <c r="B235" s="17"/>
      <c r="C235" s="17"/>
      <c r="D235" s="17"/>
      <c r="E235" s="17"/>
      <c r="F235" s="18"/>
      <c r="G235" s="71"/>
      <c r="H235" s="71"/>
      <c r="I235" s="71"/>
      <c r="J235" s="71"/>
      <c r="K235" s="71"/>
      <c r="L235" s="77"/>
      <c r="M235" s="77"/>
    </row>
    <row r="236" spans="1:13" ht="15" customHeight="1" hidden="1">
      <c r="A236" s="14" t="s">
        <v>30</v>
      </c>
      <c r="B236" s="17"/>
      <c r="C236" s="17"/>
      <c r="D236" s="17"/>
      <c r="E236" s="17"/>
      <c r="F236" s="18" t="s">
        <v>53</v>
      </c>
      <c r="G236" s="71">
        <f>H236+J236+I236+K236</f>
        <v>0</v>
      </c>
      <c r="H236" s="71"/>
      <c r="I236" s="71"/>
      <c r="J236" s="71"/>
      <c r="K236" s="71"/>
      <c r="L236" s="77"/>
      <c r="M236" s="77"/>
    </row>
    <row r="237" spans="1:13" ht="12" customHeight="1" hidden="1">
      <c r="A237" s="14" t="s">
        <v>31</v>
      </c>
      <c r="B237" s="17"/>
      <c r="C237" s="17"/>
      <c r="D237" s="17"/>
      <c r="E237" s="17"/>
      <c r="F237" s="18" t="s">
        <v>53</v>
      </c>
      <c r="G237" s="71">
        <f>H237+I237+J237+K237</f>
        <v>0</v>
      </c>
      <c r="H237" s="71"/>
      <c r="I237" s="71"/>
      <c r="J237" s="71"/>
      <c r="K237" s="71"/>
      <c r="L237" s="77"/>
      <c r="M237" s="77"/>
    </row>
    <row r="238" spans="1:13" ht="14.25" customHeight="1" hidden="1">
      <c r="A238" s="14" t="s">
        <v>106</v>
      </c>
      <c r="B238" s="17"/>
      <c r="C238" s="17"/>
      <c r="D238" s="17"/>
      <c r="E238" s="17"/>
      <c r="F238" s="18" t="s">
        <v>53</v>
      </c>
      <c r="G238" s="71">
        <f>H238+I238+J238+K238</f>
        <v>0</v>
      </c>
      <c r="H238" s="71"/>
      <c r="I238" s="71"/>
      <c r="J238" s="71"/>
      <c r="K238" s="71"/>
      <c r="L238" s="77"/>
      <c r="M238" s="77"/>
    </row>
    <row r="239" spans="1:13" ht="15" customHeight="1">
      <c r="A239" s="14" t="s">
        <v>89</v>
      </c>
      <c r="B239" s="17"/>
      <c r="C239" s="17"/>
      <c r="D239" s="28"/>
      <c r="E239" s="17"/>
      <c r="F239" s="18" t="s">
        <v>53</v>
      </c>
      <c r="G239" s="71">
        <f>H239+I239+J239+K239</f>
        <v>11325.93636</v>
      </c>
      <c r="H239" s="71">
        <f>H259+H307+H311+H314+H316+H304+H261+H265+H288+H290+H330+H332+H334+H336+H282+H340+H344+H268+H270+H292+H285+H338+H342+H319</f>
        <v>290.53143</v>
      </c>
      <c r="I239" s="71">
        <f>I259+I307+I311+I314+I316+I304+I261+I265+I288+I290+I330+I332+I334+I336+I282+I340+I344+I268+I270+I292+I285+I338+I342+I319</f>
        <v>775.26068</v>
      </c>
      <c r="J239" s="71">
        <f>J259+J307+J311+J314+J316+J304+J261+J265+J288+J290+J330+J332+J334+J336+J282+J340+J344+J268+J270+J292+J285+J338+J342+J319</f>
        <v>2628.7802199999996</v>
      </c>
      <c r="K239" s="71">
        <f>K259+K307+K311+K314+K316+K304+K261+K265+K288+K290+K330+K332+K334+K336+K282+K340+K344+K268+K270+K292+K285+K338+K342+K319</f>
        <v>7631.36403</v>
      </c>
      <c r="L239" s="77"/>
      <c r="M239" s="77"/>
    </row>
    <row r="240" spans="1:13" ht="12" customHeight="1">
      <c r="A240" s="14" t="s">
        <v>32</v>
      </c>
      <c r="B240" s="17"/>
      <c r="C240" s="17"/>
      <c r="D240" s="17"/>
      <c r="E240" s="17"/>
      <c r="F240" s="18" t="s">
        <v>54</v>
      </c>
      <c r="G240" s="83">
        <f>H240+I240+J240+K240</f>
        <v>498</v>
      </c>
      <c r="H240" s="83">
        <f>H242+H243</f>
        <v>0</v>
      </c>
      <c r="I240" s="83">
        <f>I242+I243</f>
        <v>0</v>
      </c>
      <c r="J240" s="83">
        <f>J242+J243</f>
        <v>0</v>
      </c>
      <c r="K240" s="83">
        <f>K242+K243</f>
        <v>498</v>
      </c>
      <c r="L240" s="77"/>
      <c r="M240" s="77"/>
    </row>
    <row r="241" spans="1:13" ht="12" customHeight="1">
      <c r="A241" s="14" t="s">
        <v>25</v>
      </c>
      <c r="B241" s="17"/>
      <c r="C241" s="17"/>
      <c r="D241" s="17"/>
      <c r="E241" s="17"/>
      <c r="F241" s="18"/>
      <c r="G241" s="83"/>
      <c r="H241" s="71"/>
      <c r="I241" s="71"/>
      <c r="J241" s="71"/>
      <c r="K241" s="83"/>
      <c r="L241" s="77"/>
      <c r="M241" s="77"/>
    </row>
    <row r="242" spans="1:13" ht="12.75" customHeight="1">
      <c r="A242" s="14" t="s">
        <v>81</v>
      </c>
      <c r="B242" s="17"/>
      <c r="C242" s="17"/>
      <c r="D242" s="17"/>
      <c r="E242" s="17"/>
      <c r="F242" s="18" t="s">
        <v>54</v>
      </c>
      <c r="G242" s="83">
        <f aca="true" t="shared" si="17" ref="G242:G250">H242+I242+J242+K242</f>
        <v>498</v>
      </c>
      <c r="H242" s="83">
        <f>H280+H323+H321+H272+H297+H299+H325+H327</f>
        <v>0</v>
      </c>
      <c r="I242" s="83">
        <f>I280+I323+I321+I272+I297+I299+I325+I327</f>
        <v>0</v>
      </c>
      <c r="J242" s="83">
        <f>J280+J323+J321+J272+J297+J299+J325+J327</f>
        <v>0</v>
      </c>
      <c r="K242" s="83">
        <f>K280+K323+K321+K272+K297+K299+K325+K327</f>
        <v>498</v>
      </c>
      <c r="L242" s="77"/>
      <c r="M242" s="77"/>
    </row>
    <row r="243" spans="1:13" ht="14.25" customHeight="1" hidden="1">
      <c r="A243" s="14" t="s">
        <v>79</v>
      </c>
      <c r="B243" s="17"/>
      <c r="C243" s="17"/>
      <c r="D243" s="17"/>
      <c r="E243" s="17"/>
      <c r="F243" s="18" t="s">
        <v>54</v>
      </c>
      <c r="G243" s="71">
        <f t="shared" si="17"/>
        <v>0</v>
      </c>
      <c r="H243" s="83"/>
      <c r="I243" s="71"/>
      <c r="J243" s="71"/>
      <c r="K243" s="71"/>
      <c r="L243" s="77"/>
      <c r="M243" s="77"/>
    </row>
    <row r="244" spans="1:13" ht="10.5" customHeight="1" hidden="1">
      <c r="A244" s="14" t="s">
        <v>97</v>
      </c>
      <c r="B244" s="17"/>
      <c r="C244" s="17"/>
      <c r="D244" s="17"/>
      <c r="E244" s="17"/>
      <c r="F244" s="18" t="s">
        <v>74</v>
      </c>
      <c r="G244" s="71">
        <f t="shared" si="17"/>
        <v>0</v>
      </c>
      <c r="H244" s="83"/>
      <c r="I244" s="71"/>
      <c r="J244" s="71"/>
      <c r="K244" s="71"/>
      <c r="L244" s="77"/>
      <c r="M244" s="77"/>
    </row>
    <row r="245" spans="1:13" ht="16.5" customHeight="1">
      <c r="A245" s="14" t="s">
        <v>154</v>
      </c>
      <c r="B245" s="17"/>
      <c r="C245" s="17"/>
      <c r="D245" s="17"/>
      <c r="E245" s="17"/>
      <c r="F245" s="18" t="s">
        <v>69</v>
      </c>
      <c r="G245" s="71">
        <f>H245+I245+J245+K245</f>
        <v>40.629359999999934</v>
      </c>
      <c r="H245" s="83">
        <f>H263</f>
        <v>0</v>
      </c>
      <c r="I245" s="71">
        <f>I263</f>
        <v>40.629360000000005</v>
      </c>
      <c r="J245" s="83">
        <f>J263</f>
        <v>0</v>
      </c>
      <c r="K245" s="83">
        <f>K263</f>
        <v>-7.194245199571014E-14</v>
      </c>
      <c r="L245" s="77"/>
      <c r="M245" s="77"/>
    </row>
    <row r="246" spans="1:13" ht="21" customHeight="1" hidden="1">
      <c r="A246" s="14" t="s">
        <v>122</v>
      </c>
      <c r="B246" s="17"/>
      <c r="C246" s="17"/>
      <c r="D246" s="17"/>
      <c r="E246" s="17"/>
      <c r="F246" s="18" t="s">
        <v>86</v>
      </c>
      <c r="G246" s="71">
        <f>H246+I246+J246+K246</f>
        <v>0</v>
      </c>
      <c r="H246" s="71">
        <f>H276</f>
        <v>0</v>
      </c>
      <c r="I246" s="71">
        <f>I276</f>
        <v>0</v>
      </c>
      <c r="J246" s="83">
        <f>J276</f>
        <v>0</v>
      </c>
      <c r="K246" s="83">
        <f>K276</f>
        <v>0</v>
      </c>
      <c r="L246" s="77"/>
      <c r="M246" s="77"/>
    </row>
    <row r="247" spans="1:13" ht="21" customHeight="1">
      <c r="A247" s="29" t="s">
        <v>357</v>
      </c>
      <c r="B247" s="17"/>
      <c r="C247" s="17"/>
      <c r="D247" s="17"/>
      <c r="E247" s="17"/>
      <c r="F247" s="18" t="s">
        <v>56</v>
      </c>
      <c r="G247" s="97">
        <f>H247+I247+J247+K247</f>
        <v>2.448</v>
      </c>
      <c r="H247" s="84">
        <f>H295</f>
        <v>1.8</v>
      </c>
      <c r="I247" s="97">
        <f>I295</f>
        <v>0.648</v>
      </c>
      <c r="J247" s="83">
        <f>J295</f>
        <v>0</v>
      </c>
      <c r="K247" s="83">
        <f>K295</f>
        <v>0</v>
      </c>
      <c r="L247" s="77"/>
      <c r="M247" s="77"/>
    </row>
    <row r="248" spans="1:13" ht="13.5" customHeight="1" hidden="1">
      <c r="A248" s="14" t="s">
        <v>33</v>
      </c>
      <c r="B248" s="17"/>
      <c r="C248" s="17"/>
      <c r="D248" s="17"/>
      <c r="E248" s="17"/>
      <c r="F248" s="18" t="s">
        <v>55</v>
      </c>
      <c r="G248" s="71">
        <f t="shared" si="17"/>
        <v>0</v>
      </c>
      <c r="H248" s="71">
        <f>H309</f>
        <v>0</v>
      </c>
      <c r="I248" s="71">
        <f>I309</f>
        <v>0</v>
      </c>
      <c r="J248" s="71">
        <f>J309</f>
        <v>0</v>
      </c>
      <c r="K248" s="71">
        <f>K309</f>
        <v>0</v>
      </c>
      <c r="L248" s="77"/>
      <c r="M248" s="77"/>
    </row>
    <row r="249" spans="1:13" ht="15" customHeight="1" hidden="1">
      <c r="A249" s="13" t="s">
        <v>35</v>
      </c>
      <c r="B249" s="17"/>
      <c r="C249" s="17"/>
      <c r="D249" s="17"/>
      <c r="E249" s="17"/>
      <c r="F249" s="18" t="s">
        <v>57</v>
      </c>
      <c r="G249" s="71">
        <f t="shared" si="17"/>
        <v>0</v>
      </c>
      <c r="H249" s="71">
        <f>H250+H251</f>
        <v>0</v>
      </c>
      <c r="I249" s="71">
        <f>I250+I251</f>
        <v>0</v>
      </c>
      <c r="J249" s="71">
        <f>J250+J251</f>
        <v>0</v>
      </c>
      <c r="K249" s="71">
        <f>K250+K251</f>
        <v>0</v>
      </c>
      <c r="L249" s="77"/>
      <c r="M249" s="77"/>
    </row>
    <row r="250" spans="1:13" ht="11.25" customHeight="1" hidden="1">
      <c r="A250" s="13" t="s">
        <v>36</v>
      </c>
      <c r="B250" s="17"/>
      <c r="C250" s="17"/>
      <c r="D250" s="17"/>
      <c r="E250" s="17"/>
      <c r="F250" s="18" t="s">
        <v>58</v>
      </c>
      <c r="G250" s="71">
        <f t="shared" si="17"/>
        <v>0</v>
      </c>
      <c r="H250" s="71"/>
      <c r="I250" s="71"/>
      <c r="J250" s="71"/>
      <c r="K250" s="71"/>
      <c r="L250" s="77"/>
      <c r="M250" s="77"/>
    </row>
    <row r="251" spans="1:13" ht="14.25" customHeight="1" hidden="1">
      <c r="A251" s="13" t="s">
        <v>37</v>
      </c>
      <c r="B251" s="17"/>
      <c r="C251" s="17"/>
      <c r="D251" s="17"/>
      <c r="E251" s="17"/>
      <c r="F251" s="18" t="s">
        <v>59</v>
      </c>
      <c r="G251" s="71">
        <f>H251+J251+I251+K251</f>
        <v>0</v>
      </c>
      <c r="H251" s="71">
        <f>H253+H254</f>
        <v>0</v>
      </c>
      <c r="I251" s="71">
        <f>I253+I254</f>
        <v>0</v>
      </c>
      <c r="J251" s="71">
        <f>J253+J254</f>
        <v>0</v>
      </c>
      <c r="K251" s="71">
        <f>K253+K254</f>
        <v>0</v>
      </c>
      <c r="L251" s="77"/>
      <c r="M251" s="77"/>
    </row>
    <row r="252" spans="1:13" ht="12" customHeight="1" hidden="1">
      <c r="A252" s="13" t="s">
        <v>25</v>
      </c>
      <c r="B252" s="17"/>
      <c r="C252" s="17"/>
      <c r="D252" s="17"/>
      <c r="E252" s="17"/>
      <c r="F252" s="18"/>
      <c r="G252" s="71"/>
      <c r="H252" s="71"/>
      <c r="I252" s="71"/>
      <c r="J252" s="71"/>
      <c r="K252" s="71"/>
      <c r="L252" s="77"/>
      <c r="M252" s="77"/>
    </row>
    <row r="253" spans="1:13" ht="14.25" customHeight="1" hidden="1">
      <c r="A253" s="13" t="s">
        <v>38</v>
      </c>
      <c r="B253" s="17"/>
      <c r="C253" s="17"/>
      <c r="D253" s="17"/>
      <c r="E253" s="17"/>
      <c r="F253" s="18" t="s">
        <v>59</v>
      </c>
      <c r="G253" s="71">
        <f>H253+I253+J253+K253</f>
        <v>0</v>
      </c>
      <c r="H253" s="71"/>
      <c r="I253" s="71"/>
      <c r="J253" s="71"/>
      <c r="K253" s="71"/>
      <c r="L253" s="77"/>
      <c r="M253" s="77"/>
    </row>
    <row r="254" spans="1:13" ht="14.25" customHeight="1" hidden="1">
      <c r="A254" s="13" t="s">
        <v>39</v>
      </c>
      <c r="B254" s="17"/>
      <c r="C254" s="17"/>
      <c r="D254" s="17"/>
      <c r="E254" s="17"/>
      <c r="F254" s="18" t="s">
        <v>59</v>
      </c>
      <c r="G254" s="71">
        <f>H254+I254+J254+K254</f>
        <v>0</v>
      </c>
      <c r="H254" s="71"/>
      <c r="I254" s="71"/>
      <c r="J254" s="71"/>
      <c r="K254" s="71"/>
      <c r="L254" s="77"/>
      <c r="M254" s="77"/>
    </row>
    <row r="255" spans="1:13" ht="15.75" customHeight="1" hidden="1">
      <c r="A255" s="14"/>
      <c r="B255" s="17"/>
      <c r="C255" s="17"/>
      <c r="D255" s="17"/>
      <c r="E255" s="17"/>
      <c r="F255" s="17"/>
      <c r="G255" s="75"/>
      <c r="H255" s="75"/>
      <c r="I255" s="75"/>
      <c r="J255" s="75"/>
      <c r="K255" s="75"/>
      <c r="L255" s="70"/>
      <c r="M255" s="70"/>
    </row>
    <row r="256" spans="1:13" ht="25.5" customHeight="1">
      <c r="A256" s="22" t="s">
        <v>66</v>
      </c>
      <c r="B256" s="25" t="s">
        <v>94</v>
      </c>
      <c r="C256" s="25" t="s">
        <v>67</v>
      </c>
      <c r="D256" s="17" t="s">
        <v>182</v>
      </c>
      <c r="E256" s="25" t="s">
        <v>68</v>
      </c>
      <c r="F256" s="25"/>
      <c r="G256" s="69">
        <f aca="true" t="shared" si="18" ref="G256:G263">H256+I256+J256+K256</f>
        <v>16982.052040000002</v>
      </c>
      <c r="H256" s="69">
        <f>H257+H273+H300+H345</f>
        <v>1798.2466700000002</v>
      </c>
      <c r="I256" s="69">
        <f>I257+I273+I300+I345</f>
        <v>1720.2731500000002</v>
      </c>
      <c r="J256" s="69">
        <f>J257+J273+J300+J345</f>
        <v>3459.55975</v>
      </c>
      <c r="K256" s="69">
        <f>K257+K273+K300+K345</f>
        <v>10003.97247</v>
      </c>
      <c r="L256" s="70"/>
      <c r="M256" s="70"/>
    </row>
    <row r="257" spans="1:13" ht="14.25" customHeight="1">
      <c r="A257" s="22" t="s">
        <v>152</v>
      </c>
      <c r="B257" s="17" t="s">
        <v>94</v>
      </c>
      <c r="C257" s="17" t="s">
        <v>153</v>
      </c>
      <c r="D257" s="17" t="s">
        <v>182</v>
      </c>
      <c r="E257" s="17" t="s">
        <v>68</v>
      </c>
      <c r="F257" s="17"/>
      <c r="G257" s="69">
        <f t="shared" si="18"/>
        <v>1416.05029</v>
      </c>
      <c r="H257" s="69">
        <f>H258+H262+H260+H264+H266</f>
        <v>246.13143</v>
      </c>
      <c r="I257" s="69">
        <f>I258+I262+I260+I264+I266</f>
        <v>410.52504000000005</v>
      </c>
      <c r="J257" s="69">
        <f>J258+J262+J260+J264+J266</f>
        <v>485.87822</v>
      </c>
      <c r="K257" s="106">
        <f>K258+K262+K260+K264+K266</f>
        <v>273.51559999999995</v>
      </c>
      <c r="L257" s="70"/>
      <c r="M257" s="70"/>
    </row>
    <row r="258" spans="1:13" ht="23.25" customHeight="1" hidden="1">
      <c r="A258" s="16" t="s">
        <v>194</v>
      </c>
      <c r="B258" s="17" t="s">
        <v>94</v>
      </c>
      <c r="C258" s="17" t="s">
        <v>153</v>
      </c>
      <c r="D258" s="17" t="s">
        <v>195</v>
      </c>
      <c r="E258" s="17" t="s">
        <v>115</v>
      </c>
      <c r="F258" s="17"/>
      <c r="G258" s="75">
        <f t="shared" si="18"/>
        <v>0</v>
      </c>
      <c r="H258" s="75">
        <f>H259</f>
        <v>0</v>
      </c>
      <c r="I258" s="75">
        <f>I259</f>
        <v>0</v>
      </c>
      <c r="J258" s="75">
        <f>J259</f>
        <v>0</v>
      </c>
      <c r="K258" s="75">
        <f>K259</f>
        <v>0</v>
      </c>
      <c r="L258" s="77"/>
      <c r="M258" s="77"/>
    </row>
    <row r="259" spans="1:13" ht="14.25" customHeight="1" hidden="1">
      <c r="A259" s="14" t="s">
        <v>149</v>
      </c>
      <c r="B259" s="18" t="s">
        <v>94</v>
      </c>
      <c r="C259" s="18" t="s">
        <v>153</v>
      </c>
      <c r="D259" s="18" t="s">
        <v>195</v>
      </c>
      <c r="E259" s="18" t="s">
        <v>115</v>
      </c>
      <c r="F259" s="18" t="s">
        <v>53</v>
      </c>
      <c r="G259" s="71">
        <f t="shared" si="18"/>
        <v>0</v>
      </c>
      <c r="H259" s="71">
        <v>0</v>
      </c>
      <c r="I259" s="71">
        <v>0</v>
      </c>
      <c r="J259" s="71">
        <v>0</v>
      </c>
      <c r="K259" s="71">
        <v>0</v>
      </c>
      <c r="L259" s="77"/>
      <c r="M259" s="77"/>
    </row>
    <row r="260" spans="1:13" ht="54.75" customHeight="1">
      <c r="A260" s="16" t="s">
        <v>328</v>
      </c>
      <c r="B260" s="17" t="s">
        <v>94</v>
      </c>
      <c r="C260" s="17" t="s">
        <v>153</v>
      </c>
      <c r="D260" s="17" t="s">
        <v>195</v>
      </c>
      <c r="E260" s="17" t="s">
        <v>115</v>
      </c>
      <c r="F260" s="17"/>
      <c r="G260" s="75">
        <f>H260+I260+J260+K260</f>
        <v>1375.42093</v>
      </c>
      <c r="H260" s="75">
        <f>H261</f>
        <v>246.13143</v>
      </c>
      <c r="I260" s="75">
        <f>I261</f>
        <v>369.89568</v>
      </c>
      <c r="J260" s="75">
        <f>J261</f>
        <v>485.87822</v>
      </c>
      <c r="K260" s="99">
        <f>K261</f>
        <v>273.5156</v>
      </c>
      <c r="L260" s="77"/>
      <c r="M260" s="77"/>
    </row>
    <row r="261" spans="1:13" ht="14.25" customHeight="1">
      <c r="A261" s="14" t="s">
        <v>149</v>
      </c>
      <c r="B261" s="18" t="s">
        <v>94</v>
      </c>
      <c r="C261" s="18" t="s">
        <v>153</v>
      </c>
      <c r="D261" s="18" t="s">
        <v>195</v>
      </c>
      <c r="E261" s="18" t="s">
        <v>115</v>
      </c>
      <c r="F261" s="18" t="s">
        <v>53</v>
      </c>
      <c r="G261" s="71">
        <f>H261+I261+J261+K261</f>
        <v>1375.42093</v>
      </c>
      <c r="H261" s="71">
        <f>253.6-7.46857</f>
        <v>246.13143</v>
      </c>
      <c r="I261" s="71">
        <f>373+7.46857-10.57289</f>
        <v>369.89568</v>
      </c>
      <c r="J261" s="71">
        <f>385.87822+100</f>
        <v>485.87822</v>
      </c>
      <c r="K261" s="94">
        <f>212.46531+61.05029</f>
        <v>273.5156</v>
      </c>
      <c r="L261" s="77"/>
      <c r="M261" s="77"/>
    </row>
    <row r="262" spans="1:13" ht="44.25" customHeight="1">
      <c r="A262" s="16" t="s">
        <v>196</v>
      </c>
      <c r="B262" s="17" t="s">
        <v>94</v>
      </c>
      <c r="C262" s="17" t="s">
        <v>153</v>
      </c>
      <c r="D262" s="17" t="s">
        <v>197</v>
      </c>
      <c r="E262" s="17" t="s">
        <v>198</v>
      </c>
      <c r="F262" s="17"/>
      <c r="G262" s="75">
        <f t="shared" si="18"/>
        <v>40.629359999999934</v>
      </c>
      <c r="H262" s="105">
        <f>H263</f>
        <v>0</v>
      </c>
      <c r="I262" s="75">
        <f>I263</f>
        <v>40.629360000000005</v>
      </c>
      <c r="J262" s="105">
        <f>J263</f>
        <v>0</v>
      </c>
      <c r="K262" s="105">
        <f>K263</f>
        <v>-7.194245199571014E-14</v>
      </c>
      <c r="L262" s="77"/>
      <c r="M262" s="77"/>
    </row>
    <row r="263" spans="1:13" ht="17.25" customHeight="1">
      <c r="A263" s="13" t="s">
        <v>154</v>
      </c>
      <c r="B263" s="18" t="s">
        <v>94</v>
      </c>
      <c r="C263" s="18" t="s">
        <v>153</v>
      </c>
      <c r="D263" s="18" t="s">
        <v>197</v>
      </c>
      <c r="E263" s="18" t="s">
        <v>305</v>
      </c>
      <c r="F263" s="18" t="s">
        <v>69</v>
      </c>
      <c r="G263" s="71">
        <f t="shared" si="18"/>
        <v>40.629359999999934</v>
      </c>
      <c r="H263" s="83">
        <f>39.76-39.76</f>
        <v>0</v>
      </c>
      <c r="I263" s="71">
        <f>39.76+0.86936+127.18156-127.18156</f>
        <v>40.629360000000005</v>
      </c>
      <c r="J263" s="83">
        <v>0</v>
      </c>
      <c r="K263" s="83">
        <f>607.3-0.86936-127.18156-471.48865-7.76043</f>
        <v>-7.194245199571014E-14</v>
      </c>
      <c r="L263" s="77"/>
      <c r="M263" s="77"/>
    </row>
    <row r="264" spans="1:13" ht="30.75" customHeight="1" hidden="1">
      <c r="A264" s="16" t="s">
        <v>329</v>
      </c>
      <c r="B264" s="17" t="s">
        <v>94</v>
      </c>
      <c r="C264" s="17" t="s">
        <v>153</v>
      </c>
      <c r="D264" s="17" t="s">
        <v>330</v>
      </c>
      <c r="E264" s="17" t="s">
        <v>115</v>
      </c>
      <c r="F264" s="17"/>
      <c r="G264" s="75">
        <f aca="true" t="shared" si="19" ref="G264:G270">H264+I264+J264+K264</f>
        <v>0</v>
      </c>
      <c r="H264" s="75">
        <f>H265</f>
        <v>0</v>
      </c>
      <c r="I264" s="75">
        <f>I265</f>
        <v>0</v>
      </c>
      <c r="J264" s="75">
        <f>J265</f>
        <v>0</v>
      </c>
      <c r="K264" s="75">
        <f>K265</f>
        <v>0</v>
      </c>
      <c r="L264" s="77"/>
      <c r="M264" s="77"/>
    </row>
    <row r="265" spans="1:13" ht="14.25" customHeight="1" hidden="1">
      <c r="A265" s="14" t="s">
        <v>149</v>
      </c>
      <c r="B265" s="18" t="s">
        <v>94</v>
      </c>
      <c r="C265" s="18" t="s">
        <v>153</v>
      </c>
      <c r="D265" s="18" t="s">
        <v>330</v>
      </c>
      <c r="E265" s="18" t="s">
        <v>115</v>
      </c>
      <c r="F265" s="18" t="s">
        <v>53</v>
      </c>
      <c r="G265" s="71">
        <f t="shared" si="19"/>
        <v>0</v>
      </c>
      <c r="H265" s="71">
        <v>0</v>
      </c>
      <c r="I265" s="71">
        <v>0</v>
      </c>
      <c r="J265" s="71">
        <v>0</v>
      </c>
      <c r="K265" s="71">
        <v>0</v>
      </c>
      <c r="L265" s="77"/>
      <c r="M265" s="77"/>
    </row>
    <row r="266" spans="1:13" ht="57" customHeight="1" hidden="1">
      <c r="A266" s="51" t="s">
        <v>416</v>
      </c>
      <c r="B266" s="17" t="s">
        <v>94</v>
      </c>
      <c r="C266" s="17" t="s">
        <v>153</v>
      </c>
      <c r="D266" s="17" t="s">
        <v>439</v>
      </c>
      <c r="E266" s="17" t="s">
        <v>68</v>
      </c>
      <c r="F266" s="17"/>
      <c r="G266" s="75">
        <f t="shared" si="19"/>
        <v>0</v>
      </c>
      <c r="H266" s="75">
        <f>H267+H269+H272</f>
        <v>0</v>
      </c>
      <c r="I266" s="75">
        <f>I267+I269+I272</f>
        <v>0</v>
      </c>
      <c r="J266" s="75">
        <f>J267+J269+J272</f>
        <v>0</v>
      </c>
      <c r="K266" s="75">
        <f>K267+K269+K272</f>
        <v>0</v>
      </c>
      <c r="L266" s="77"/>
      <c r="M266" s="78"/>
    </row>
    <row r="267" spans="1:13" ht="57.75" customHeight="1" hidden="1">
      <c r="A267" s="45" t="s">
        <v>417</v>
      </c>
      <c r="B267" s="18" t="s">
        <v>94</v>
      </c>
      <c r="C267" s="18" t="s">
        <v>153</v>
      </c>
      <c r="D267" s="18" t="s">
        <v>434</v>
      </c>
      <c r="E267" s="20" t="s">
        <v>115</v>
      </c>
      <c r="F267" s="20"/>
      <c r="G267" s="79">
        <f t="shared" si="19"/>
        <v>0</v>
      </c>
      <c r="H267" s="79">
        <f>H268</f>
        <v>0</v>
      </c>
      <c r="I267" s="79">
        <f>I268</f>
        <v>0</v>
      </c>
      <c r="J267" s="79">
        <f>J268</f>
        <v>0</v>
      </c>
      <c r="K267" s="79">
        <f>K268</f>
        <v>0</v>
      </c>
      <c r="L267" s="77"/>
      <c r="M267" s="78"/>
    </row>
    <row r="268" spans="1:13" ht="14.25" customHeight="1" hidden="1">
      <c r="A268" s="29" t="s">
        <v>357</v>
      </c>
      <c r="B268" s="18" t="s">
        <v>94</v>
      </c>
      <c r="C268" s="18" t="s">
        <v>153</v>
      </c>
      <c r="D268" s="18" t="s">
        <v>434</v>
      </c>
      <c r="E268" s="18" t="s">
        <v>115</v>
      </c>
      <c r="F268" s="18" t="s">
        <v>53</v>
      </c>
      <c r="G268" s="71">
        <f t="shared" si="19"/>
        <v>0</v>
      </c>
      <c r="H268" s="71">
        <f>500-500</f>
        <v>0</v>
      </c>
      <c r="I268" s="71">
        <f>3911.58507+1119.59737-5031.18244</f>
        <v>0</v>
      </c>
      <c r="J268" s="71">
        <f>505.396-505.396</f>
        <v>0</v>
      </c>
      <c r="K268" s="71">
        <v>0</v>
      </c>
      <c r="L268" s="77"/>
      <c r="M268" s="78"/>
    </row>
    <row r="269" spans="1:13" ht="73.5" customHeight="1" hidden="1">
      <c r="A269" s="45" t="s">
        <v>419</v>
      </c>
      <c r="B269" s="20" t="s">
        <v>94</v>
      </c>
      <c r="C269" s="20" t="s">
        <v>153</v>
      </c>
      <c r="D269" s="20" t="s">
        <v>435</v>
      </c>
      <c r="E269" s="20" t="s">
        <v>115</v>
      </c>
      <c r="F269" s="20"/>
      <c r="G269" s="79">
        <f t="shared" si="19"/>
        <v>0</v>
      </c>
      <c r="H269" s="79">
        <f>H270</f>
        <v>0</v>
      </c>
      <c r="I269" s="79">
        <f>I270</f>
        <v>0</v>
      </c>
      <c r="J269" s="79">
        <f>J270</f>
        <v>0</v>
      </c>
      <c r="K269" s="79">
        <f>K270</f>
        <v>0</v>
      </c>
      <c r="L269" s="77"/>
      <c r="M269" s="78"/>
    </row>
    <row r="270" spans="1:13" ht="14.25" customHeight="1" hidden="1">
      <c r="A270" s="13" t="s">
        <v>159</v>
      </c>
      <c r="B270" s="20" t="s">
        <v>94</v>
      </c>
      <c r="C270" s="20" t="s">
        <v>153</v>
      </c>
      <c r="D270" s="20" t="s">
        <v>435</v>
      </c>
      <c r="E270" s="18" t="s">
        <v>115</v>
      </c>
      <c r="F270" s="18" t="s">
        <v>53</v>
      </c>
      <c r="G270" s="71">
        <f t="shared" si="19"/>
        <v>0</v>
      </c>
      <c r="H270" s="71">
        <f>1500-1500</f>
        <v>0</v>
      </c>
      <c r="I270" s="71">
        <f>434.62056-434.62056</f>
        <v>0</v>
      </c>
      <c r="J270" s="71">
        <f>505.396-505.396</f>
        <v>0</v>
      </c>
      <c r="K270" s="71">
        <v>0</v>
      </c>
      <c r="L270" s="77"/>
      <c r="M270" s="78"/>
    </row>
    <row r="271" spans="1:13" ht="24.75" customHeight="1" hidden="1">
      <c r="A271" s="45" t="s">
        <v>445</v>
      </c>
      <c r="B271" s="20" t="s">
        <v>94</v>
      </c>
      <c r="C271" s="20" t="s">
        <v>153</v>
      </c>
      <c r="D271" s="20" t="s">
        <v>444</v>
      </c>
      <c r="E271" s="18" t="s">
        <v>115</v>
      </c>
      <c r="F271" s="18"/>
      <c r="G271" s="79">
        <f>H271+I271+J271+K271</f>
        <v>0</v>
      </c>
      <c r="H271" s="79">
        <f>H272</f>
        <v>0</v>
      </c>
      <c r="I271" s="79">
        <f>I272</f>
        <v>0</v>
      </c>
      <c r="J271" s="79">
        <f>J272</f>
        <v>0</v>
      </c>
      <c r="K271" s="79">
        <f>K272</f>
        <v>0</v>
      </c>
      <c r="L271" s="77"/>
      <c r="M271" s="78"/>
    </row>
    <row r="272" spans="1:13" ht="14.25" customHeight="1" hidden="1">
      <c r="A272" s="14" t="s">
        <v>149</v>
      </c>
      <c r="B272" s="20" t="s">
        <v>94</v>
      </c>
      <c r="C272" s="20" t="s">
        <v>153</v>
      </c>
      <c r="D272" s="20" t="s">
        <v>444</v>
      </c>
      <c r="E272" s="18" t="s">
        <v>115</v>
      </c>
      <c r="F272" s="18" t="s">
        <v>54</v>
      </c>
      <c r="G272" s="71">
        <f>H272+I272+J272+K272</f>
        <v>0</v>
      </c>
      <c r="H272" s="71">
        <f>1500-1500</f>
        <v>0</v>
      </c>
      <c r="I272" s="71">
        <f>45-45</f>
        <v>0</v>
      </c>
      <c r="J272" s="71">
        <f>45-45</f>
        <v>0</v>
      </c>
      <c r="K272" s="71">
        <f>45-45</f>
        <v>0</v>
      </c>
      <c r="L272" s="77"/>
      <c r="M272" s="78"/>
    </row>
    <row r="273" spans="1:13" ht="15" customHeight="1">
      <c r="A273" s="22" t="s">
        <v>70</v>
      </c>
      <c r="B273" s="25" t="s">
        <v>94</v>
      </c>
      <c r="C273" s="25" t="s">
        <v>71</v>
      </c>
      <c r="D273" s="17" t="s">
        <v>182</v>
      </c>
      <c r="E273" s="25" t="s">
        <v>68</v>
      </c>
      <c r="F273" s="25"/>
      <c r="G273" s="107">
        <f>SUM(H273:K273)</f>
        <v>2689.4480000000003</v>
      </c>
      <c r="H273" s="109">
        <f>H276+H278+H286+H293+H283</f>
        <v>1.8</v>
      </c>
      <c r="I273" s="107">
        <f>I276+I278+I286+I293+I283</f>
        <v>0.648</v>
      </c>
      <c r="J273" s="107">
        <f>J276+J278+J286+J293+J283</f>
        <v>1776.473</v>
      </c>
      <c r="K273" s="107">
        <f>K276+K278+K286+K293+K283</f>
        <v>910.527</v>
      </c>
      <c r="L273" s="70"/>
      <c r="M273" s="70"/>
    </row>
    <row r="274" spans="1:13" ht="93.75" customHeight="1" hidden="1">
      <c r="A274" s="27" t="s">
        <v>192</v>
      </c>
      <c r="B274" s="18" t="s">
        <v>94</v>
      </c>
      <c r="C274" s="17" t="s">
        <v>71</v>
      </c>
      <c r="D274" s="17" t="s">
        <v>193</v>
      </c>
      <c r="E274" s="17" t="s">
        <v>42</v>
      </c>
      <c r="F274" s="17"/>
      <c r="G274" s="75">
        <f>G275</f>
        <v>0</v>
      </c>
      <c r="H274" s="104">
        <f>H275</f>
        <v>0</v>
      </c>
      <c r="I274" s="101">
        <f>I275</f>
        <v>0</v>
      </c>
      <c r="J274" s="75">
        <f>J275</f>
        <v>0</v>
      </c>
      <c r="K274" s="75">
        <f>K275</f>
        <v>0</v>
      </c>
      <c r="L274" s="70"/>
      <c r="M274" s="70"/>
    </row>
    <row r="275" spans="1:13" ht="15" customHeight="1" hidden="1">
      <c r="A275" s="13" t="s">
        <v>122</v>
      </c>
      <c r="B275" s="18" t="s">
        <v>94</v>
      </c>
      <c r="C275" s="18" t="s">
        <v>71</v>
      </c>
      <c r="D275" s="18" t="s">
        <v>193</v>
      </c>
      <c r="E275" s="18" t="s">
        <v>157</v>
      </c>
      <c r="F275" s="18" t="s">
        <v>86</v>
      </c>
      <c r="G275" s="71">
        <f>H275+I275+J275+K275</f>
        <v>0</v>
      </c>
      <c r="H275" s="84">
        <v>0</v>
      </c>
      <c r="I275" s="97">
        <v>0</v>
      </c>
      <c r="J275" s="71">
        <v>0</v>
      </c>
      <c r="K275" s="71">
        <v>0</v>
      </c>
      <c r="L275" s="70"/>
      <c r="M275" s="70"/>
    </row>
    <row r="276" spans="1:13" ht="93" customHeight="1" hidden="1">
      <c r="A276" s="27" t="s">
        <v>192</v>
      </c>
      <c r="B276" s="18" t="s">
        <v>94</v>
      </c>
      <c r="C276" s="17" t="s">
        <v>71</v>
      </c>
      <c r="D276" s="17" t="s">
        <v>344</v>
      </c>
      <c r="E276" s="17" t="s">
        <v>42</v>
      </c>
      <c r="F276" s="17"/>
      <c r="G276" s="75">
        <f>G277</f>
        <v>0</v>
      </c>
      <c r="H276" s="104">
        <f>H277</f>
        <v>0</v>
      </c>
      <c r="I276" s="101">
        <f>I277</f>
        <v>0</v>
      </c>
      <c r="J276" s="75">
        <f>J277</f>
        <v>0</v>
      </c>
      <c r="K276" s="75">
        <f>K277</f>
        <v>0</v>
      </c>
      <c r="L276" s="77"/>
      <c r="M276" s="78"/>
    </row>
    <row r="277" spans="1:13" ht="12" customHeight="1" hidden="1">
      <c r="A277" s="13" t="s">
        <v>122</v>
      </c>
      <c r="B277" s="18" t="s">
        <v>94</v>
      </c>
      <c r="C277" s="18" t="s">
        <v>71</v>
      </c>
      <c r="D277" s="18" t="s">
        <v>344</v>
      </c>
      <c r="E277" s="18" t="s">
        <v>157</v>
      </c>
      <c r="F277" s="18" t="s">
        <v>86</v>
      </c>
      <c r="G277" s="71">
        <f aca="true" t="shared" si="20" ref="G277:G285">H277+I277+J277+K277</f>
        <v>0</v>
      </c>
      <c r="H277" s="84">
        <v>0</v>
      </c>
      <c r="I277" s="97">
        <v>0</v>
      </c>
      <c r="J277" s="71">
        <f>800-800</f>
        <v>0</v>
      </c>
      <c r="K277" s="71">
        <f>800-800</f>
        <v>0</v>
      </c>
      <c r="L277" s="77"/>
      <c r="M277" s="78"/>
    </row>
    <row r="278" spans="1:13" ht="45.75" customHeight="1" hidden="1">
      <c r="A278" s="16" t="s">
        <v>323</v>
      </c>
      <c r="B278" s="17" t="s">
        <v>94</v>
      </c>
      <c r="C278" s="17" t="s">
        <v>71</v>
      </c>
      <c r="D278" s="17" t="s">
        <v>318</v>
      </c>
      <c r="E278" s="17" t="s">
        <v>68</v>
      </c>
      <c r="F278" s="17"/>
      <c r="G278" s="75">
        <f t="shared" si="20"/>
        <v>0</v>
      </c>
      <c r="H278" s="104">
        <f>H279+H281</f>
        <v>0</v>
      </c>
      <c r="I278" s="101">
        <f>I279+I281</f>
        <v>0</v>
      </c>
      <c r="J278" s="75">
        <f>J279+J281</f>
        <v>0</v>
      </c>
      <c r="K278" s="75">
        <f>K279+K281</f>
        <v>0</v>
      </c>
      <c r="L278" s="77"/>
      <c r="M278" s="78"/>
    </row>
    <row r="279" spans="1:13" ht="45" customHeight="1" hidden="1">
      <c r="A279" s="21" t="s">
        <v>429</v>
      </c>
      <c r="B279" s="20" t="s">
        <v>94</v>
      </c>
      <c r="C279" s="20" t="s">
        <v>71</v>
      </c>
      <c r="D279" s="20" t="s">
        <v>319</v>
      </c>
      <c r="E279" s="20" t="s">
        <v>115</v>
      </c>
      <c r="F279" s="20"/>
      <c r="G279" s="79">
        <f t="shared" si="20"/>
        <v>0</v>
      </c>
      <c r="H279" s="82">
        <f>H280</f>
        <v>0</v>
      </c>
      <c r="I279" s="102">
        <f>I280</f>
        <v>0</v>
      </c>
      <c r="J279" s="79">
        <f>J280</f>
        <v>0</v>
      </c>
      <c r="K279" s="79">
        <f>K280</f>
        <v>0</v>
      </c>
      <c r="L279" s="77"/>
      <c r="M279" s="78"/>
    </row>
    <row r="280" spans="1:13" ht="12" customHeight="1" hidden="1">
      <c r="A280" s="13" t="s">
        <v>32</v>
      </c>
      <c r="B280" s="18" t="s">
        <v>94</v>
      </c>
      <c r="C280" s="18" t="s">
        <v>71</v>
      </c>
      <c r="D280" s="18" t="s">
        <v>319</v>
      </c>
      <c r="E280" s="18" t="s">
        <v>115</v>
      </c>
      <c r="F280" s="18" t="s">
        <v>54</v>
      </c>
      <c r="G280" s="71">
        <f t="shared" si="20"/>
        <v>0</v>
      </c>
      <c r="H280" s="84">
        <v>0</v>
      </c>
      <c r="I280" s="97">
        <v>0</v>
      </c>
      <c r="J280" s="71">
        <f>505.396-505.396</f>
        <v>0</v>
      </c>
      <c r="K280" s="71">
        <v>0</v>
      </c>
      <c r="L280" s="77"/>
      <c r="M280" s="78"/>
    </row>
    <row r="281" spans="1:13" ht="42" customHeight="1" hidden="1">
      <c r="A281" s="21" t="s">
        <v>430</v>
      </c>
      <c r="B281" s="20" t="s">
        <v>94</v>
      </c>
      <c r="C281" s="20" t="s">
        <v>71</v>
      </c>
      <c r="D281" s="20" t="s">
        <v>428</v>
      </c>
      <c r="E281" s="20" t="s">
        <v>115</v>
      </c>
      <c r="F281" s="20"/>
      <c r="G281" s="79">
        <f t="shared" si="20"/>
        <v>0</v>
      </c>
      <c r="H281" s="82">
        <f>H282</f>
        <v>0</v>
      </c>
      <c r="I281" s="102">
        <f>I282</f>
        <v>0</v>
      </c>
      <c r="J281" s="79">
        <f>J282</f>
        <v>0</v>
      </c>
      <c r="K281" s="79">
        <f>K282</f>
        <v>0</v>
      </c>
      <c r="L281" s="77"/>
      <c r="M281" s="78"/>
    </row>
    <row r="282" spans="1:13" ht="28.5" customHeight="1" hidden="1">
      <c r="A282" s="13" t="s">
        <v>159</v>
      </c>
      <c r="B282" s="18" t="s">
        <v>94</v>
      </c>
      <c r="C282" s="18" t="s">
        <v>71</v>
      </c>
      <c r="D282" s="20" t="s">
        <v>428</v>
      </c>
      <c r="E282" s="18" t="s">
        <v>115</v>
      </c>
      <c r="F282" s="18" t="s">
        <v>53</v>
      </c>
      <c r="G282" s="71">
        <f t="shared" si="20"/>
        <v>0</v>
      </c>
      <c r="H282" s="84">
        <v>0</v>
      </c>
      <c r="I282" s="97">
        <f>600-600</f>
        <v>0</v>
      </c>
      <c r="J282" s="71">
        <f>600-600</f>
        <v>0</v>
      </c>
      <c r="K282" s="71">
        <v>0</v>
      </c>
      <c r="L282" s="77"/>
      <c r="M282" s="78"/>
    </row>
    <row r="283" spans="1:13" s="7" customFormat="1" ht="42" customHeight="1">
      <c r="A283" s="16" t="s">
        <v>323</v>
      </c>
      <c r="B283" s="17" t="s">
        <v>94</v>
      </c>
      <c r="C283" s="17" t="s">
        <v>71</v>
      </c>
      <c r="D283" s="17" t="s">
        <v>318</v>
      </c>
      <c r="E283" s="17" t="s">
        <v>68</v>
      </c>
      <c r="F283" s="17"/>
      <c r="G283" s="105">
        <f t="shared" si="20"/>
        <v>600</v>
      </c>
      <c r="H283" s="105">
        <f aca="true" t="shared" si="21" ref="H283:K284">H284</f>
        <v>0</v>
      </c>
      <c r="I283" s="105">
        <f t="shared" si="21"/>
        <v>0</v>
      </c>
      <c r="J283" s="105">
        <f t="shared" si="21"/>
        <v>0</v>
      </c>
      <c r="K283" s="105">
        <f t="shared" si="21"/>
        <v>600</v>
      </c>
      <c r="L283" s="77"/>
      <c r="M283" s="78"/>
    </row>
    <row r="284" spans="1:13" s="7" customFormat="1" ht="42" customHeight="1">
      <c r="A284" s="45" t="s">
        <v>459</v>
      </c>
      <c r="B284" s="20" t="s">
        <v>94</v>
      </c>
      <c r="C284" s="20" t="s">
        <v>71</v>
      </c>
      <c r="D284" s="20" t="s">
        <v>428</v>
      </c>
      <c r="E284" s="20" t="s">
        <v>115</v>
      </c>
      <c r="F284" s="20"/>
      <c r="G284" s="81">
        <f t="shared" si="20"/>
        <v>600</v>
      </c>
      <c r="H284" s="81">
        <f t="shared" si="21"/>
        <v>0</v>
      </c>
      <c r="I284" s="81">
        <f t="shared" si="21"/>
        <v>0</v>
      </c>
      <c r="J284" s="81">
        <f t="shared" si="21"/>
        <v>0</v>
      </c>
      <c r="K284" s="81">
        <f t="shared" si="21"/>
        <v>600</v>
      </c>
      <c r="L284" s="77"/>
      <c r="M284" s="78"/>
    </row>
    <row r="285" spans="1:13" s="7" customFormat="1" ht="20.25" customHeight="1">
      <c r="A285" s="13" t="s">
        <v>159</v>
      </c>
      <c r="B285" s="18" t="s">
        <v>94</v>
      </c>
      <c r="C285" s="18" t="s">
        <v>71</v>
      </c>
      <c r="D285" s="20" t="s">
        <v>428</v>
      </c>
      <c r="E285" s="18" t="s">
        <v>115</v>
      </c>
      <c r="F285" s="18" t="s">
        <v>53</v>
      </c>
      <c r="G285" s="83">
        <f t="shared" si="20"/>
        <v>600</v>
      </c>
      <c r="H285" s="83">
        <v>0</v>
      </c>
      <c r="I285" s="83">
        <f>600-600</f>
        <v>0</v>
      </c>
      <c r="J285" s="83">
        <f>600-600</f>
        <v>0</v>
      </c>
      <c r="K285" s="83">
        <v>600</v>
      </c>
      <c r="L285" s="77"/>
      <c r="M285" s="78"/>
    </row>
    <row r="286" spans="1:13" ht="23.25" customHeight="1">
      <c r="A286" s="16" t="s">
        <v>391</v>
      </c>
      <c r="B286" s="17" t="s">
        <v>94</v>
      </c>
      <c r="C286" s="17" t="s">
        <v>71</v>
      </c>
      <c r="D286" s="17" t="s">
        <v>279</v>
      </c>
      <c r="E286" s="17" t="s">
        <v>68</v>
      </c>
      <c r="F286" s="17"/>
      <c r="G286" s="105">
        <f aca="true" t="shared" si="22" ref="G286:G300">H286+I286+J286+K286</f>
        <v>2087</v>
      </c>
      <c r="H286" s="105">
        <f>H287+H289+H291</f>
        <v>0</v>
      </c>
      <c r="I286" s="105">
        <f>I287+I289+I291</f>
        <v>0</v>
      </c>
      <c r="J286" s="101">
        <f>J287+J289+J291</f>
        <v>1776.473</v>
      </c>
      <c r="K286" s="101">
        <f>K287+K289+K291</f>
        <v>310.527</v>
      </c>
      <c r="L286" s="77"/>
      <c r="M286" s="78"/>
    </row>
    <row r="287" spans="1:13" ht="28.5" customHeight="1">
      <c r="A287" s="21" t="s">
        <v>398</v>
      </c>
      <c r="B287" s="20" t="s">
        <v>94</v>
      </c>
      <c r="C287" s="20" t="s">
        <v>71</v>
      </c>
      <c r="D287" s="20" t="s">
        <v>280</v>
      </c>
      <c r="E287" s="20" t="s">
        <v>115</v>
      </c>
      <c r="F287" s="20"/>
      <c r="G287" s="82">
        <f t="shared" si="22"/>
        <v>492.5</v>
      </c>
      <c r="H287" s="81">
        <f>H288</f>
        <v>0</v>
      </c>
      <c r="I287" s="81">
        <f>I288</f>
        <v>0</v>
      </c>
      <c r="J287" s="82">
        <f>J288</f>
        <v>492.5</v>
      </c>
      <c r="K287" s="81">
        <f>K288</f>
        <v>0</v>
      </c>
      <c r="L287" s="77"/>
      <c r="M287" s="78"/>
    </row>
    <row r="288" spans="1:13" ht="18" customHeight="1">
      <c r="A288" s="13" t="s">
        <v>159</v>
      </c>
      <c r="B288" s="18" t="s">
        <v>94</v>
      </c>
      <c r="C288" s="18" t="s">
        <v>71</v>
      </c>
      <c r="D288" s="20" t="s">
        <v>280</v>
      </c>
      <c r="E288" s="18" t="s">
        <v>115</v>
      </c>
      <c r="F288" s="18" t="s">
        <v>53</v>
      </c>
      <c r="G288" s="84">
        <f t="shared" si="22"/>
        <v>492.5</v>
      </c>
      <c r="H288" s="83">
        <f>500-500</f>
        <v>0</v>
      </c>
      <c r="I288" s="83">
        <f>500-500</f>
        <v>0</v>
      </c>
      <c r="J288" s="84">
        <f>500-2.1-5.4</f>
        <v>492.5</v>
      </c>
      <c r="K288" s="83">
        <f>5.4-5.4</f>
        <v>0</v>
      </c>
      <c r="L288" s="77"/>
      <c r="M288" s="78"/>
    </row>
    <row r="289" spans="1:13" ht="23.25" customHeight="1">
      <c r="A289" s="21" t="s">
        <v>399</v>
      </c>
      <c r="B289" s="20" t="s">
        <v>94</v>
      </c>
      <c r="C289" s="20" t="s">
        <v>71</v>
      </c>
      <c r="D289" s="20" t="s">
        <v>390</v>
      </c>
      <c r="E289" s="20" t="s">
        <v>115</v>
      </c>
      <c r="F289" s="20"/>
      <c r="G289" s="81">
        <f t="shared" si="22"/>
        <v>1395</v>
      </c>
      <c r="H289" s="81">
        <f>H290</f>
        <v>0</v>
      </c>
      <c r="I289" s="81">
        <f>I290</f>
        <v>0</v>
      </c>
      <c r="J289" s="102">
        <f>J290</f>
        <v>1084.473</v>
      </c>
      <c r="K289" s="102">
        <f>K290</f>
        <v>310.527</v>
      </c>
      <c r="L289" s="77"/>
      <c r="M289" s="78"/>
    </row>
    <row r="290" spans="1:13" ht="21" customHeight="1">
      <c r="A290" s="13" t="s">
        <v>159</v>
      </c>
      <c r="B290" s="18" t="s">
        <v>94</v>
      </c>
      <c r="C290" s="18" t="s">
        <v>71</v>
      </c>
      <c r="D290" s="20" t="s">
        <v>390</v>
      </c>
      <c r="E290" s="18" t="s">
        <v>115</v>
      </c>
      <c r="F290" s="18" t="s">
        <v>53</v>
      </c>
      <c r="G290" s="83">
        <f t="shared" si="22"/>
        <v>1395</v>
      </c>
      <c r="H290" s="83">
        <f>1500-1500</f>
        <v>0</v>
      </c>
      <c r="I290" s="83">
        <f>1500-1500</f>
        <v>0</v>
      </c>
      <c r="J290" s="97">
        <f>1500-415.527</f>
        <v>1084.473</v>
      </c>
      <c r="K290" s="97">
        <f>415.527-105</f>
        <v>310.527</v>
      </c>
      <c r="L290" s="77"/>
      <c r="M290" s="78"/>
    </row>
    <row r="291" spans="1:13" ht="45.75" customHeight="1">
      <c r="A291" s="45" t="s">
        <v>448</v>
      </c>
      <c r="B291" s="20" t="s">
        <v>94</v>
      </c>
      <c r="C291" s="20" t="s">
        <v>71</v>
      </c>
      <c r="D291" s="20" t="s">
        <v>447</v>
      </c>
      <c r="E291" s="20" t="s">
        <v>115</v>
      </c>
      <c r="F291" s="20"/>
      <c r="G291" s="82">
        <f>H291+I291+J291+K291</f>
        <v>199.5</v>
      </c>
      <c r="H291" s="81">
        <f>H292</f>
        <v>0</v>
      </c>
      <c r="I291" s="81">
        <f>I292</f>
        <v>0</v>
      </c>
      <c r="J291" s="82">
        <f>J292</f>
        <v>199.5</v>
      </c>
      <c r="K291" s="81">
        <f>K292</f>
        <v>0</v>
      </c>
      <c r="L291" s="77"/>
      <c r="M291" s="78"/>
    </row>
    <row r="292" spans="1:13" ht="18" customHeight="1">
      <c r="A292" s="13" t="s">
        <v>159</v>
      </c>
      <c r="B292" s="18" t="s">
        <v>94</v>
      </c>
      <c r="C292" s="18" t="s">
        <v>71</v>
      </c>
      <c r="D292" s="20" t="s">
        <v>447</v>
      </c>
      <c r="E292" s="18" t="s">
        <v>115</v>
      </c>
      <c r="F292" s="18" t="s">
        <v>53</v>
      </c>
      <c r="G292" s="84">
        <f>H292+I292+J292+K292</f>
        <v>199.5</v>
      </c>
      <c r="H292" s="83">
        <f>1500-1500</f>
        <v>0</v>
      </c>
      <c r="I292" s="83">
        <f>1500-1500</f>
        <v>0</v>
      </c>
      <c r="J292" s="84">
        <v>199.5</v>
      </c>
      <c r="K292" s="83">
        <v>0</v>
      </c>
      <c r="L292" s="77"/>
      <c r="M292" s="78"/>
    </row>
    <row r="293" spans="1:19" s="5" customFormat="1" ht="71.25" customHeight="1">
      <c r="A293" s="16" t="s">
        <v>394</v>
      </c>
      <c r="B293" s="17" t="s">
        <v>94</v>
      </c>
      <c r="C293" s="17" t="s">
        <v>71</v>
      </c>
      <c r="D293" s="17" t="s">
        <v>393</v>
      </c>
      <c r="E293" s="17" t="s">
        <v>68</v>
      </c>
      <c r="F293" s="17"/>
      <c r="G293" s="101">
        <f t="shared" si="22"/>
        <v>2.448</v>
      </c>
      <c r="H293" s="104">
        <f>H294+H296+H298</f>
        <v>1.8</v>
      </c>
      <c r="I293" s="101">
        <f>I294+I296+I298</f>
        <v>0.648</v>
      </c>
      <c r="J293" s="105">
        <f>J294+J296+J298</f>
        <v>0</v>
      </c>
      <c r="K293" s="105">
        <f>K294+K296+K298</f>
        <v>0</v>
      </c>
      <c r="L293" s="77"/>
      <c r="M293" s="78"/>
      <c r="N293" s="7"/>
      <c r="O293" s="7"/>
      <c r="P293" s="7"/>
      <c r="Q293" s="7"/>
      <c r="R293" s="7"/>
      <c r="S293" s="7"/>
    </row>
    <row r="294" spans="1:19" s="5" customFormat="1" ht="24.75" customHeight="1">
      <c r="A294" s="21" t="s">
        <v>400</v>
      </c>
      <c r="B294" s="20" t="s">
        <v>94</v>
      </c>
      <c r="C294" s="20" t="s">
        <v>71</v>
      </c>
      <c r="D294" s="20" t="s">
        <v>392</v>
      </c>
      <c r="E294" s="20" t="s">
        <v>57</v>
      </c>
      <c r="F294" s="20"/>
      <c r="G294" s="102">
        <f t="shared" si="22"/>
        <v>2.448</v>
      </c>
      <c r="H294" s="82">
        <f aca="true" t="shared" si="23" ref="H294:K298">H295</f>
        <v>1.8</v>
      </c>
      <c r="I294" s="102">
        <f t="shared" si="23"/>
        <v>0.648</v>
      </c>
      <c r="J294" s="81">
        <f t="shared" si="23"/>
        <v>0</v>
      </c>
      <c r="K294" s="81">
        <f t="shared" si="23"/>
        <v>0</v>
      </c>
      <c r="L294" s="77"/>
      <c r="M294" s="78"/>
      <c r="N294" s="7"/>
      <c r="O294" s="7"/>
      <c r="P294" s="7"/>
      <c r="Q294" s="7"/>
      <c r="R294" s="7"/>
      <c r="S294" s="7"/>
    </row>
    <row r="295" spans="1:19" s="5" customFormat="1" ht="20.25" customHeight="1">
      <c r="A295" s="29" t="s">
        <v>357</v>
      </c>
      <c r="B295" s="18" t="s">
        <v>94</v>
      </c>
      <c r="C295" s="18" t="s">
        <v>71</v>
      </c>
      <c r="D295" s="20" t="s">
        <v>392</v>
      </c>
      <c r="E295" s="18" t="s">
        <v>142</v>
      </c>
      <c r="F295" s="18" t="s">
        <v>56</v>
      </c>
      <c r="G295" s="97">
        <f t="shared" si="22"/>
        <v>2.448</v>
      </c>
      <c r="H295" s="84">
        <v>1.8</v>
      </c>
      <c r="I295" s="97">
        <v>0.648</v>
      </c>
      <c r="J295" s="83">
        <f>505.396-505.396</f>
        <v>0</v>
      </c>
      <c r="K295" s="83">
        <v>0</v>
      </c>
      <c r="L295" s="77"/>
      <c r="M295" s="78"/>
      <c r="N295" s="7"/>
      <c r="O295" s="7"/>
      <c r="P295" s="7"/>
      <c r="Q295" s="7"/>
      <c r="R295" s="7"/>
      <c r="S295" s="7"/>
    </row>
    <row r="296" spans="1:19" s="5" customFormat="1" ht="88.5" customHeight="1" hidden="1">
      <c r="A296" s="29" t="s">
        <v>457</v>
      </c>
      <c r="B296" s="18" t="s">
        <v>94</v>
      </c>
      <c r="C296" s="18" t="s">
        <v>71</v>
      </c>
      <c r="D296" s="20" t="s">
        <v>458</v>
      </c>
      <c r="E296" s="18" t="s">
        <v>115</v>
      </c>
      <c r="F296" s="18"/>
      <c r="G296" s="79">
        <f>H296+I296+J296+K296</f>
        <v>0</v>
      </c>
      <c r="H296" s="79">
        <f t="shared" si="23"/>
        <v>0</v>
      </c>
      <c r="I296" s="79">
        <f t="shared" si="23"/>
        <v>0</v>
      </c>
      <c r="J296" s="79">
        <f t="shared" si="23"/>
        <v>0</v>
      </c>
      <c r="K296" s="79">
        <f t="shared" si="23"/>
        <v>0</v>
      </c>
      <c r="L296" s="77"/>
      <c r="M296" s="78"/>
      <c r="N296" s="7"/>
      <c r="O296" s="7"/>
      <c r="P296" s="7"/>
      <c r="Q296" s="7"/>
      <c r="R296" s="7"/>
      <c r="S296" s="7"/>
    </row>
    <row r="297" spans="1:19" s="5" customFormat="1" ht="20.25" customHeight="1" hidden="1">
      <c r="A297" s="14" t="s">
        <v>32</v>
      </c>
      <c r="B297" s="18" t="s">
        <v>94</v>
      </c>
      <c r="C297" s="18" t="s">
        <v>71</v>
      </c>
      <c r="D297" s="20" t="s">
        <v>458</v>
      </c>
      <c r="E297" s="18" t="s">
        <v>115</v>
      </c>
      <c r="F297" s="18" t="s">
        <v>54</v>
      </c>
      <c r="G297" s="71">
        <f>H297+I297+J297+K297</f>
        <v>0</v>
      </c>
      <c r="H297" s="71">
        <v>0</v>
      </c>
      <c r="I297" s="71">
        <v>0</v>
      </c>
      <c r="J297" s="71">
        <f>3152.85-3152.85</f>
        <v>0</v>
      </c>
      <c r="K297" s="71">
        <f>3152.85-3152.85</f>
        <v>0</v>
      </c>
      <c r="L297" s="77"/>
      <c r="M297" s="78"/>
      <c r="N297" s="7"/>
      <c r="O297" s="7"/>
      <c r="P297" s="7"/>
      <c r="Q297" s="7"/>
      <c r="R297" s="7"/>
      <c r="S297" s="7"/>
    </row>
    <row r="298" spans="1:19" s="5" customFormat="1" ht="51.75" customHeight="1" hidden="1">
      <c r="A298" s="29" t="s">
        <v>465</v>
      </c>
      <c r="B298" s="18" t="s">
        <v>94</v>
      </c>
      <c r="C298" s="18" t="s">
        <v>71</v>
      </c>
      <c r="D298" s="20" t="s">
        <v>464</v>
      </c>
      <c r="E298" s="18" t="s">
        <v>115</v>
      </c>
      <c r="F298" s="18"/>
      <c r="G298" s="79">
        <f>H298+I298+J298+K298</f>
        <v>0</v>
      </c>
      <c r="H298" s="79">
        <f t="shared" si="23"/>
        <v>0</v>
      </c>
      <c r="I298" s="79">
        <f t="shared" si="23"/>
        <v>0</v>
      </c>
      <c r="J298" s="79">
        <f t="shared" si="23"/>
        <v>0</v>
      </c>
      <c r="K298" s="79">
        <f t="shared" si="23"/>
        <v>0</v>
      </c>
      <c r="L298" s="77"/>
      <c r="M298" s="78"/>
      <c r="N298" s="7"/>
      <c r="O298" s="7"/>
      <c r="P298" s="7"/>
      <c r="Q298" s="7"/>
      <c r="R298" s="7"/>
      <c r="S298" s="7"/>
    </row>
    <row r="299" spans="1:19" s="5" customFormat="1" ht="20.25" customHeight="1" hidden="1">
      <c r="A299" s="14" t="s">
        <v>32</v>
      </c>
      <c r="B299" s="18" t="s">
        <v>94</v>
      </c>
      <c r="C299" s="18" t="s">
        <v>71</v>
      </c>
      <c r="D299" s="20" t="s">
        <v>464</v>
      </c>
      <c r="E299" s="18" t="s">
        <v>115</v>
      </c>
      <c r="F299" s="18" t="s">
        <v>54</v>
      </c>
      <c r="G299" s="71">
        <f>H299+I299+J299+K299</f>
        <v>0</v>
      </c>
      <c r="H299" s="71">
        <v>0</v>
      </c>
      <c r="I299" s="71">
        <v>0</v>
      </c>
      <c r="J299" s="71">
        <f>3152.85-3152.85</f>
        <v>0</v>
      </c>
      <c r="K299" s="71">
        <f>1438.46666-707.82642-504.615-160.64428-226.02524+160.64428</f>
        <v>0</v>
      </c>
      <c r="L299" s="77"/>
      <c r="M299" s="78"/>
      <c r="N299" s="7"/>
      <c r="O299" s="7"/>
      <c r="P299" s="7"/>
      <c r="Q299" s="7"/>
      <c r="R299" s="7"/>
      <c r="S299" s="7"/>
    </row>
    <row r="300" spans="1:13" ht="17.25" customHeight="1">
      <c r="A300" s="22" t="s">
        <v>199</v>
      </c>
      <c r="B300" s="25" t="s">
        <v>94</v>
      </c>
      <c r="C300" s="25" t="s">
        <v>72</v>
      </c>
      <c r="D300" s="17" t="s">
        <v>182</v>
      </c>
      <c r="E300" s="25" t="s">
        <v>68</v>
      </c>
      <c r="F300" s="25"/>
      <c r="G300" s="69">
        <f t="shared" si="22"/>
        <v>11799.589919999999</v>
      </c>
      <c r="H300" s="69">
        <f>H301+H305+H312+H302+H317+H328</f>
        <v>1347.38505</v>
      </c>
      <c r="I300" s="69">
        <f>I301+I305+I312+I302+I317+I328</f>
        <v>993.7403300000001</v>
      </c>
      <c r="J300" s="69">
        <f>J301+J305+J312+J302+J317+J328</f>
        <v>890.55314</v>
      </c>
      <c r="K300" s="69">
        <f>K301+K305+K312+K302+K317+K328</f>
        <v>8567.911399999999</v>
      </c>
      <c r="L300" s="70"/>
      <c r="M300" s="70"/>
    </row>
    <row r="301" spans="1:13" ht="15.75" customHeight="1">
      <c r="A301" s="13" t="s">
        <v>73</v>
      </c>
      <c r="B301" s="18" t="s">
        <v>94</v>
      </c>
      <c r="C301" s="18" t="s">
        <v>72</v>
      </c>
      <c r="D301" s="18" t="s">
        <v>207</v>
      </c>
      <c r="E301" s="18" t="s">
        <v>115</v>
      </c>
      <c r="F301" s="18" t="s">
        <v>52</v>
      </c>
      <c r="G301" s="71">
        <f aca="true" t="shared" si="24" ref="G301:G315">H301+I301+J301+K301</f>
        <v>4038.07449</v>
      </c>
      <c r="H301" s="71">
        <f>1145+157.98505</f>
        <v>1302.98505</v>
      </c>
      <c r="I301" s="71">
        <f>841-157.98505+168.82529-263.46491</f>
        <v>588.3753300000001</v>
      </c>
      <c r="J301" s="71">
        <v>524.12414</v>
      </c>
      <c r="K301" s="71">
        <f>1116.54077+429.34942+76.69978</f>
        <v>1622.58997</v>
      </c>
      <c r="L301" s="72"/>
      <c r="M301" s="72"/>
    </row>
    <row r="302" spans="1:13" ht="30.75" customHeight="1" hidden="1">
      <c r="A302" s="16" t="s">
        <v>376</v>
      </c>
      <c r="B302" s="17" t="s">
        <v>94</v>
      </c>
      <c r="C302" s="17" t="s">
        <v>72</v>
      </c>
      <c r="D302" s="17" t="s">
        <v>279</v>
      </c>
      <c r="E302" s="17" t="s">
        <v>68</v>
      </c>
      <c r="F302" s="17"/>
      <c r="G302" s="75">
        <f t="shared" si="24"/>
        <v>0</v>
      </c>
      <c r="H302" s="75">
        <f aca="true" t="shared" si="25" ref="H302:K303">H303</f>
        <v>0</v>
      </c>
      <c r="I302" s="75">
        <f t="shared" si="25"/>
        <v>0</v>
      </c>
      <c r="J302" s="75">
        <f t="shared" si="25"/>
        <v>0</v>
      </c>
      <c r="K302" s="75">
        <f t="shared" si="25"/>
        <v>0</v>
      </c>
      <c r="L302" s="72"/>
      <c r="M302" s="72"/>
    </row>
    <row r="303" spans="1:13" ht="24.75" customHeight="1" hidden="1">
      <c r="A303" s="21" t="s">
        <v>281</v>
      </c>
      <c r="B303" s="20" t="s">
        <v>94</v>
      </c>
      <c r="C303" s="20" t="s">
        <v>72</v>
      </c>
      <c r="D303" s="20" t="s">
        <v>280</v>
      </c>
      <c r="E303" s="20" t="s">
        <v>115</v>
      </c>
      <c r="F303" s="20"/>
      <c r="G303" s="79">
        <f t="shared" si="24"/>
        <v>0</v>
      </c>
      <c r="H303" s="79">
        <f t="shared" si="25"/>
        <v>0</v>
      </c>
      <c r="I303" s="79">
        <f t="shared" si="25"/>
        <v>0</v>
      </c>
      <c r="J303" s="79">
        <f t="shared" si="25"/>
        <v>0</v>
      </c>
      <c r="K303" s="79">
        <f t="shared" si="25"/>
        <v>0</v>
      </c>
      <c r="L303" s="72"/>
      <c r="M303" s="72"/>
    </row>
    <row r="304" spans="1:13" ht="13.5" customHeight="1" hidden="1">
      <c r="A304" s="13" t="s">
        <v>159</v>
      </c>
      <c r="B304" s="18" t="s">
        <v>94</v>
      </c>
      <c r="C304" s="18" t="s">
        <v>72</v>
      </c>
      <c r="D304" s="18" t="s">
        <v>280</v>
      </c>
      <c r="E304" s="18" t="s">
        <v>115</v>
      </c>
      <c r="F304" s="18" t="s">
        <v>53</v>
      </c>
      <c r="G304" s="71">
        <f t="shared" si="24"/>
        <v>0</v>
      </c>
      <c r="H304" s="71"/>
      <c r="I304" s="71"/>
      <c r="J304" s="71"/>
      <c r="K304" s="71"/>
      <c r="L304" s="72"/>
      <c r="M304" s="72"/>
    </row>
    <row r="305" spans="1:13" ht="39.75" customHeight="1">
      <c r="A305" s="16" t="s">
        <v>377</v>
      </c>
      <c r="B305" s="17" t="s">
        <v>94</v>
      </c>
      <c r="C305" s="17" t="s">
        <v>72</v>
      </c>
      <c r="D305" s="17" t="s">
        <v>201</v>
      </c>
      <c r="E305" s="17" t="s">
        <v>68</v>
      </c>
      <c r="F305" s="17"/>
      <c r="G305" s="103">
        <f t="shared" si="24"/>
        <v>1283.02</v>
      </c>
      <c r="H305" s="104">
        <f>H306+H310+H308</f>
        <v>44.400000000000006</v>
      </c>
      <c r="I305" s="101">
        <f>I306+I310+I308</f>
        <v>288.68500000000006</v>
      </c>
      <c r="J305" s="101">
        <f>J306+J310+J308</f>
        <v>366.429</v>
      </c>
      <c r="K305" s="101">
        <f>K306+K310+K308</f>
        <v>583.506</v>
      </c>
      <c r="L305" s="72"/>
      <c r="M305" s="72"/>
    </row>
    <row r="306" spans="1:13" ht="69.75" customHeight="1">
      <c r="A306" s="21" t="s">
        <v>200</v>
      </c>
      <c r="B306" s="20" t="s">
        <v>94</v>
      </c>
      <c r="C306" s="20" t="s">
        <v>72</v>
      </c>
      <c r="D306" s="20" t="s">
        <v>202</v>
      </c>
      <c r="E306" s="20" t="s">
        <v>115</v>
      </c>
      <c r="F306" s="20"/>
      <c r="G306" s="80">
        <f t="shared" si="24"/>
        <v>1283.02</v>
      </c>
      <c r="H306" s="82">
        <f>H307</f>
        <v>44.400000000000006</v>
      </c>
      <c r="I306" s="102">
        <f>I307</f>
        <v>288.68500000000006</v>
      </c>
      <c r="J306" s="102">
        <f>J307</f>
        <v>366.429</v>
      </c>
      <c r="K306" s="102">
        <f>K307</f>
        <v>583.506</v>
      </c>
      <c r="L306" s="72"/>
      <c r="M306" s="72"/>
    </row>
    <row r="307" spans="1:13" ht="13.5" customHeight="1">
      <c r="A307" s="14" t="s">
        <v>149</v>
      </c>
      <c r="B307" s="18" t="s">
        <v>94</v>
      </c>
      <c r="C307" s="18" t="s">
        <v>72</v>
      </c>
      <c r="D307" s="18" t="s">
        <v>202</v>
      </c>
      <c r="E307" s="18" t="s">
        <v>115</v>
      </c>
      <c r="F307" s="18" t="s">
        <v>53</v>
      </c>
      <c r="G307" s="98">
        <f t="shared" si="24"/>
        <v>1283.02</v>
      </c>
      <c r="H307" s="84">
        <f>200-155.6</f>
        <v>44.400000000000006</v>
      </c>
      <c r="I307" s="97">
        <f>295+155.6-161.915</f>
        <v>288.68500000000006</v>
      </c>
      <c r="J307" s="97">
        <f>161.915+82.371+122.143</f>
        <v>366.429</v>
      </c>
      <c r="K307" s="97">
        <f>684-82.371-122.143-94.4+94.4+104.02</f>
        <v>583.506</v>
      </c>
      <c r="L307" s="72"/>
      <c r="M307" s="72"/>
    </row>
    <row r="308" spans="1:13" ht="66.75" customHeight="1" hidden="1">
      <c r="A308" s="21" t="s">
        <v>463</v>
      </c>
      <c r="B308" s="20" t="s">
        <v>94</v>
      </c>
      <c r="C308" s="20" t="s">
        <v>72</v>
      </c>
      <c r="D308" s="20" t="s">
        <v>202</v>
      </c>
      <c r="E308" s="20" t="s">
        <v>151</v>
      </c>
      <c r="F308" s="20"/>
      <c r="G308" s="79">
        <f t="shared" si="24"/>
        <v>0</v>
      </c>
      <c r="H308" s="79">
        <f>H309</f>
        <v>0</v>
      </c>
      <c r="I308" s="79">
        <f>I309</f>
        <v>0</v>
      </c>
      <c r="J308" s="79">
        <f>J309</f>
        <v>0</v>
      </c>
      <c r="K308" s="79">
        <f>K309</f>
        <v>0</v>
      </c>
      <c r="L308" s="72"/>
      <c r="M308" s="72"/>
    </row>
    <row r="309" spans="1:13" ht="13.5" customHeight="1" hidden="1">
      <c r="A309" s="14" t="s">
        <v>149</v>
      </c>
      <c r="B309" s="18" t="s">
        <v>94</v>
      </c>
      <c r="C309" s="18" t="s">
        <v>72</v>
      </c>
      <c r="D309" s="18" t="s">
        <v>202</v>
      </c>
      <c r="E309" s="18" t="s">
        <v>337</v>
      </c>
      <c r="F309" s="18" t="s">
        <v>55</v>
      </c>
      <c r="G309" s="71">
        <f t="shared" si="24"/>
        <v>0</v>
      </c>
      <c r="H309" s="71">
        <v>0</v>
      </c>
      <c r="I309" s="71">
        <v>0</v>
      </c>
      <c r="J309" s="71">
        <v>0</v>
      </c>
      <c r="K309" s="71">
        <f>94.4-94.4</f>
        <v>0</v>
      </c>
      <c r="L309" s="72"/>
      <c r="M309" s="72"/>
    </row>
    <row r="310" spans="1:13" ht="24.75" customHeight="1" hidden="1">
      <c r="A310" s="21" t="s">
        <v>203</v>
      </c>
      <c r="B310" s="20" t="s">
        <v>94</v>
      </c>
      <c r="C310" s="20" t="s">
        <v>72</v>
      </c>
      <c r="D310" s="20" t="s">
        <v>204</v>
      </c>
      <c r="E310" s="20" t="s">
        <v>115</v>
      </c>
      <c r="F310" s="20"/>
      <c r="G310" s="79">
        <f t="shared" si="24"/>
        <v>0</v>
      </c>
      <c r="H310" s="79">
        <f>H311</f>
        <v>0</v>
      </c>
      <c r="I310" s="79">
        <f>I311</f>
        <v>0</v>
      </c>
      <c r="J310" s="79">
        <f>J311</f>
        <v>0</v>
      </c>
      <c r="K310" s="79">
        <f>K311</f>
        <v>0</v>
      </c>
      <c r="L310" s="72"/>
      <c r="M310" s="72"/>
    </row>
    <row r="311" spans="1:13" ht="13.5" customHeight="1" hidden="1">
      <c r="A311" s="14" t="s">
        <v>149</v>
      </c>
      <c r="B311" s="18" t="s">
        <v>94</v>
      </c>
      <c r="C311" s="18" t="s">
        <v>72</v>
      </c>
      <c r="D311" s="18" t="s">
        <v>204</v>
      </c>
      <c r="E311" s="18" t="s">
        <v>115</v>
      </c>
      <c r="F311" s="18" t="s">
        <v>53</v>
      </c>
      <c r="G311" s="71">
        <f t="shared" si="24"/>
        <v>0</v>
      </c>
      <c r="H311" s="71">
        <v>0</v>
      </c>
      <c r="I311" s="71">
        <v>0</v>
      </c>
      <c r="J311" s="71">
        <v>0</v>
      </c>
      <c r="K311" s="71">
        <v>0</v>
      </c>
      <c r="L311" s="72"/>
      <c r="M311" s="72"/>
    </row>
    <row r="312" spans="1:13" ht="24.75" customHeight="1">
      <c r="A312" s="16" t="s">
        <v>384</v>
      </c>
      <c r="B312" s="17" t="s">
        <v>94</v>
      </c>
      <c r="C312" s="17" t="s">
        <v>72</v>
      </c>
      <c r="D312" s="17" t="s">
        <v>205</v>
      </c>
      <c r="E312" s="17" t="s">
        <v>68</v>
      </c>
      <c r="F312" s="17"/>
      <c r="G312" s="105">
        <f t="shared" si="24"/>
        <v>498</v>
      </c>
      <c r="H312" s="105">
        <f>H313+H315</f>
        <v>0</v>
      </c>
      <c r="I312" s="105">
        <f>I313+I315</f>
        <v>100</v>
      </c>
      <c r="J312" s="105">
        <f>J313+J315</f>
        <v>0</v>
      </c>
      <c r="K312" s="105">
        <f>K313+K315</f>
        <v>398</v>
      </c>
      <c r="L312" s="72"/>
      <c r="M312" s="78"/>
    </row>
    <row r="313" spans="1:13" ht="17.25" customHeight="1">
      <c r="A313" s="21" t="s">
        <v>266</v>
      </c>
      <c r="B313" s="20" t="s">
        <v>94</v>
      </c>
      <c r="C313" s="20" t="s">
        <v>72</v>
      </c>
      <c r="D313" s="20" t="s">
        <v>206</v>
      </c>
      <c r="E313" s="20" t="s">
        <v>115</v>
      </c>
      <c r="F313" s="20"/>
      <c r="G313" s="81">
        <f t="shared" si="24"/>
        <v>498</v>
      </c>
      <c r="H313" s="81">
        <f>H314</f>
        <v>0</v>
      </c>
      <c r="I313" s="81">
        <f>I314</f>
        <v>100</v>
      </c>
      <c r="J313" s="81">
        <f>J314</f>
        <v>0</v>
      </c>
      <c r="K313" s="81">
        <f>K314</f>
        <v>398</v>
      </c>
      <c r="L313" s="72"/>
      <c r="M313" s="78"/>
    </row>
    <row r="314" spans="1:13" ht="11.25" customHeight="1">
      <c r="A314" s="14" t="s">
        <v>149</v>
      </c>
      <c r="B314" s="18" t="s">
        <v>94</v>
      </c>
      <c r="C314" s="18" t="s">
        <v>72</v>
      </c>
      <c r="D314" s="18" t="s">
        <v>206</v>
      </c>
      <c r="E314" s="18" t="s">
        <v>115</v>
      </c>
      <c r="F314" s="18" t="s">
        <v>53</v>
      </c>
      <c r="G314" s="83">
        <f t="shared" si="24"/>
        <v>498</v>
      </c>
      <c r="H314" s="83">
        <v>0</v>
      </c>
      <c r="I314" s="83">
        <v>100</v>
      </c>
      <c r="J314" s="83">
        <f>400-400</f>
        <v>0</v>
      </c>
      <c r="K314" s="83">
        <f>400-2</f>
        <v>398</v>
      </c>
      <c r="L314" s="72"/>
      <c r="M314" s="78"/>
    </row>
    <row r="315" spans="1:13" ht="27" customHeight="1" hidden="1">
      <c r="A315" s="21" t="s">
        <v>282</v>
      </c>
      <c r="B315" s="20" t="s">
        <v>94</v>
      </c>
      <c r="C315" s="20" t="s">
        <v>72</v>
      </c>
      <c r="D315" s="20" t="s">
        <v>283</v>
      </c>
      <c r="E315" s="20" t="s">
        <v>115</v>
      </c>
      <c r="F315" s="20"/>
      <c r="G315" s="79">
        <f t="shared" si="24"/>
        <v>0</v>
      </c>
      <c r="H315" s="79">
        <f>H316</f>
        <v>0</v>
      </c>
      <c r="I315" s="79">
        <f>I316</f>
        <v>0</v>
      </c>
      <c r="J315" s="79">
        <f>J316</f>
        <v>0</v>
      </c>
      <c r="K315" s="79">
        <f>K316</f>
        <v>0</v>
      </c>
      <c r="L315" s="72"/>
      <c r="M315" s="78"/>
    </row>
    <row r="316" spans="1:13" ht="13.5" customHeight="1" hidden="1">
      <c r="A316" s="14" t="s">
        <v>149</v>
      </c>
      <c r="B316" s="18" t="s">
        <v>94</v>
      </c>
      <c r="C316" s="18" t="s">
        <v>72</v>
      </c>
      <c r="D316" s="18" t="s">
        <v>283</v>
      </c>
      <c r="E316" s="18" t="s">
        <v>115</v>
      </c>
      <c r="F316" s="18" t="s">
        <v>53</v>
      </c>
      <c r="G316" s="71">
        <f aca="true" t="shared" si="26" ref="G316:G348">H316+I316+J316+K316</f>
        <v>0</v>
      </c>
      <c r="H316" s="71">
        <v>0</v>
      </c>
      <c r="I316" s="71">
        <v>0</v>
      </c>
      <c r="J316" s="71">
        <f>100-100</f>
        <v>0</v>
      </c>
      <c r="K316" s="71">
        <v>0</v>
      </c>
      <c r="L316" s="72"/>
      <c r="M316" s="78"/>
    </row>
    <row r="317" spans="1:13" ht="27" customHeight="1">
      <c r="A317" s="16" t="s">
        <v>442</v>
      </c>
      <c r="B317" s="17" t="s">
        <v>94</v>
      </c>
      <c r="C317" s="17" t="s">
        <v>72</v>
      </c>
      <c r="D317" s="17" t="s">
        <v>321</v>
      </c>
      <c r="E317" s="17" t="s">
        <v>68</v>
      </c>
      <c r="F317" s="17"/>
      <c r="G317" s="103">
        <f t="shared" si="26"/>
        <v>797.25</v>
      </c>
      <c r="H317" s="105">
        <f>H322+H320+H318+H324+H326</f>
        <v>0</v>
      </c>
      <c r="I317" s="105">
        <f>I322+I320+I318+I324+I326</f>
        <v>0</v>
      </c>
      <c r="J317" s="105">
        <f>J322+J320+J318+J324+J326</f>
        <v>0</v>
      </c>
      <c r="K317" s="103">
        <f>K322+K320+K318+K324+K326</f>
        <v>797.25</v>
      </c>
      <c r="L317" s="72"/>
      <c r="M317" s="78"/>
    </row>
    <row r="318" spans="1:13" ht="17.25" customHeight="1">
      <c r="A318" s="21" t="s">
        <v>347</v>
      </c>
      <c r="B318" s="20" t="s">
        <v>94</v>
      </c>
      <c r="C318" s="20" t="s">
        <v>72</v>
      </c>
      <c r="D318" s="20" t="s">
        <v>348</v>
      </c>
      <c r="E318" s="20" t="s">
        <v>116</v>
      </c>
      <c r="F318" s="20"/>
      <c r="G318" s="80">
        <f t="shared" si="26"/>
        <v>299.25</v>
      </c>
      <c r="H318" s="81">
        <f aca="true" t="shared" si="27" ref="H318:K326">H319</f>
        <v>0</v>
      </c>
      <c r="I318" s="81">
        <f t="shared" si="27"/>
        <v>0</v>
      </c>
      <c r="J318" s="81">
        <f t="shared" si="27"/>
        <v>0</v>
      </c>
      <c r="K318" s="80">
        <f t="shared" si="27"/>
        <v>299.25</v>
      </c>
      <c r="L318" s="72"/>
      <c r="M318" s="78"/>
    </row>
    <row r="319" spans="1:13" ht="16.5" customHeight="1">
      <c r="A319" s="14" t="s">
        <v>32</v>
      </c>
      <c r="B319" s="18" t="s">
        <v>94</v>
      </c>
      <c r="C319" s="18" t="s">
        <v>72</v>
      </c>
      <c r="D319" s="18" t="s">
        <v>348</v>
      </c>
      <c r="E319" s="18" t="s">
        <v>115</v>
      </c>
      <c r="F319" s="18" t="s">
        <v>53</v>
      </c>
      <c r="G319" s="98">
        <f t="shared" si="26"/>
        <v>299.25</v>
      </c>
      <c r="H319" s="83">
        <f>350-350</f>
        <v>0</v>
      </c>
      <c r="I319" s="83">
        <f>350-350</f>
        <v>0</v>
      </c>
      <c r="J319" s="83">
        <f>350-350</f>
        <v>0</v>
      </c>
      <c r="K319" s="98">
        <f>350-50.75</f>
        <v>299.25</v>
      </c>
      <c r="L319" s="72"/>
      <c r="M319" s="78"/>
    </row>
    <row r="320" spans="1:13" ht="44.25" customHeight="1">
      <c r="A320" s="21" t="s">
        <v>363</v>
      </c>
      <c r="B320" s="30" t="s">
        <v>94</v>
      </c>
      <c r="C320" s="30" t="s">
        <v>72</v>
      </c>
      <c r="D320" s="30" t="s">
        <v>356</v>
      </c>
      <c r="E320" s="18" t="s">
        <v>116</v>
      </c>
      <c r="F320" s="18"/>
      <c r="G320" s="81">
        <f t="shared" si="26"/>
        <v>298</v>
      </c>
      <c r="H320" s="105">
        <f t="shared" si="27"/>
        <v>0</v>
      </c>
      <c r="I320" s="105">
        <f t="shared" si="27"/>
        <v>0</v>
      </c>
      <c r="J320" s="105">
        <f t="shared" si="27"/>
        <v>0</v>
      </c>
      <c r="K320" s="81">
        <f t="shared" si="27"/>
        <v>298</v>
      </c>
      <c r="L320" s="72"/>
      <c r="M320" s="78"/>
    </row>
    <row r="321" spans="1:13" ht="18" customHeight="1">
      <c r="A321" s="14" t="s">
        <v>32</v>
      </c>
      <c r="B321" s="30" t="s">
        <v>94</v>
      </c>
      <c r="C321" s="30" t="s">
        <v>72</v>
      </c>
      <c r="D321" s="30" t="s">
        <v>356</v>
      </c>
      <c r="E321" s="18" t="s">
        <v>115</v>
      </c>
      <c r="F321" s="18" t="s">
        <v>53</v>
      </c>
      <c r="G321" s="83">
        <f t="shared" si="26"/>
        <v>298</v>
      </c>
      <c r="H321" s="81">
        <v>0</v>
      </c>
      <c r="I321" s="81">
        <f>200-200</f>
        <v>0</v>
      </c>
      <c r="J321" s="81">
        <f>200+200-400</f>
        <v>0</v>
      </c>
      <c r="K321" s="83">
        <f>400-102</f>
        <v>298</v>
      </c>
      <c r="L321" s="72"/>
      <c r="M321" s="78"/>
    </row>
    <row r="322" spans="1:13" ht="24" customHeight="1" hidden="1">
      <c r="A322" s="21" t="s">
        <v>322</v>
      </c>
      <c r="B322" s="20" t="s">
        <v>94</v>
      </c>
      <c r="C322" s="20" t="s">
        <v>72</v>
      </c>
      <c r="D322" s="20" t="s">
        <v>324</v>
      </c>
      <c r="E322" s="20" t="s">
        <v>116</v>
      </c>
      <c r="F322" s="20"/>
      <c r="G322" s="80">
        <f t="shared" si="26"/>
        <v>0</v>
      </c>
      <c r="H322" s="83">
        <f t="shared" si="27"/>
        <v>0</v>
      </c>
      <c r="I322" s="83">
        <f t="shared" si="27"/>
        <v>0</v>
      </c>
      <c r="J322" s="83">
        <f t="shared" si="27"/>
        <v>0</v>
      </c>
      <c r="K322" s="80">
        <f t="shared" si="27"/>
        <v>0</v>
      </c>
      <c r="L322" s="72"/>
      <c r="M322" s="78"/>
    </row>
    <row r="323" spans="1:13" ht="13.5" customHeight="1" hidden="1">
      <c r="A323" s="14" t="s">
        <v>32</v>
      </c>
      <c r="B323" s="18" t="s">
        <v>94</v>
      </c>
      <c r="C323" s="18" t="s">
        <v>72</v>
      </c>
      <c r="D323" s="18" t="s">
        <v>324</v>
      </c>
      <c r="E323" s="18" t="s">
        <v>115</v>
      </c>
      <c r="F323" s="18" t="s">
        <v>54</v>
      </c>
      <c r="G323" s="98">
        <f t="shared" si="26"/>
        <v>0</v>
      </c>
      <c r="H323" s="105">
        <v>0</v>
      </c>
      <c r="I323" s="105">
        <v>0</v>
      </c>
      <c r="J323" s="105">
        <v>0</v>
      </c>
      <c r="K323" s="98">
        <v>0</v>
      </c>
      <c r="L323" s="72"/>
      <c r="M323" s="78"/>
    </row>
    <row r="324" spans="1:13" ht="29.25" customHeight="1">
      <c r="A324" s="21" t="s">
        <v>367</v>
      </c>
      <c r="B324" s="20" t="s">
        <v>94</v>
      </c>
      <c r="C324" s="20" t="s">
        <v>72</v>
      </c>
      <c r="D324" s="20" t="s">
        <v>366</v>
      </c>
      <c r="E324" s="20" t="s">
        <v>116</v>
      </c>
      <c r="F324" s="20"/>
      <c r="G324" s="80">
        <f t="shared" si="26"/>
        <v>180.75</v>
      </c>
      <c r="H324" s="81">
        <f t="shared" si="27"/>
        <v>0</v>
      </c>
      <c r="I324" s="81">
        <f t="shared" si="27"/>
        <v>0</v>
      </c>
      <c r="J324" s="81">
        <f t="shared" si="27"/>
        <v>0</v>
      </c>
      <c r="K324" s="80">
        <f t="shared" si="27"/>
        <v>180.75</v>
      </c>
      <c r="L324" s="72"/>
      <c r="M324" s="78"/>
    </row>
    <row r="325" spans="1:13" ht="13.5" customHeight="1">
      <c r="A325" s="14" t="s">
        <v>32</v>
      </c>
      <c r="B325" s="18" t="s">
        <v>94</v>
      </c>
      <c r="C325" s="18" t="s">
        <v>72</v>
      </c>
      <c r="D325" s="18" t="s">
        <v>366</v>
      </c>
      <c r="E325" s="18" t="s">
        <v>115</v>
      </c>
      <c r="F325" s="18" t="s">
        <v>54</v>
      </c>
      <c r="G325" s="98">
        <f t="shared" si="26"/>
        <v>180.75</v>
      </c>
      <c r="H325" s="83">
        <v>0</v>
      </c>
      <c r="I325" s="83">
        <v>0</v>
      </c>
      <c r="J325" s="83">
        <v>0</v>
      </c>
      <c r="K325" s="98">
        <f>200-19.25</f>
        <v>180.75</v>
      </c>
      <c r="L325" s="72"/>
      <c r="M325" s="78"/>
    </row>
    <row r="326" spans="1:13" ht="39.75" customHeight="1">
      <c r="A326" s="21" t="s">
        <v>468</v>
      </c>
      <c r="B326" s="20" t="s">
        <v>94</v>
      </c>
      <c r="C326" s="20" t="s">
        <v>72</v>
      </c>
      <c r="D326" s="20" t="s">
        <v>366</v>
      </c>
      <c r="E326" s="20" t="s">
        <v>116</v>
      </c>
      <c r="F326" s="20"/>
      <c r="G326" s="80">
        <f>H326+I326+J326+K326</f>
        <v>19.25</v>
      </c>
      <c r="H326" s="81">
        <f t="shared" si="27"/>
        <v>0</v>
      </c>
      <c r="I326" s="81">
        <f t="shared" si="27"/>
        <v>0</v>
      </c>
      <c r="J326" s="81">
        <f t="shared" si="27"/>
        <v>0</v>
      </c>
      <c r="K326" s="80">
        <f t="shared" si="27"/>
        <v>19.25</v>
      </c>
      <c r="L326" s="72"/>
      <c r="M326" s="78"/>
    </row>
    <row r="327" spans="1:13" ht="20.25" customHeight="1">
      <c r="A327" s="14" t="s">
        <v>32</v>
      </c>
      <c r="B327" s="18" t="s">
        <v>94</v>
      </c>
      <c r="C327" s="18" t="s">
        <v>72</v>
      </c>
      <c r="D327" s="18" t="s">
        <v>366</v>
      </c>
      <c r="E327" s="18" t="s">
        <v>115</v>
      </c>
      <c r="F327" s="18" t="s">
        <v>54</v>
      </c>
      <c r="G327" s="98">
        <f>H327+I327+J327+K327</f>
        <v>19.25</v>
      </c>
      <c r="H327" s="83">
        <v>0</v>
      </c>
      <c r="I327" s="83">
        <v>0</v>
      </c>
      <c r="J327" s="83">
        <v>0</v>
      </c>
      <c r="K327" s="98">
        <v>19.25</v>
      </c>
      <c r="L327" s="72"/>
      <c r="M327" s="78"/>
    </row>
    <row r="328" spans="1:13" ht="33.75" customHeight="1">
      <c r="A328" s="16" t="s">
        <v>396</v>
      </c>
      <c r="B328" s="17" t="s">
        <v>94</v>
      </c>
      <c r="C328" s="17" t="s">
        <v>72</v>
      </c>
      <c r="D328" s="17" t="s">
        <v>397</v>
      </c>
      <c r="E328" s="17" t="s">
        <v>68</v>
      </c>
      <c r="F328" s="18"/>
      <c r="G328" s="75">
        <f t="shared" si="26"/>
        <v>5183.24543</v>
      </c>
      <c r="H328" s="105">
        <f>H329+H331+H333+H335+H339+H343+H337+H341</f>
        <v>0</v>
      </c>
      <c r="I328" s="103">
        <f>I329+I331+I333+I335+I339+I343+I337+I341</f>
        <v>16.68</v>
      </c>
      <c r="J328" s="105">
        <f>J329+J331+J333+J335+J339+J343+J337+J341</f>
        <v>0</v>
      </c>
      <c r="K328" s="75">
        <f>K329+K331+K333+K335+K339+K343+K337+K341</f>
        <v>5166.56543</v>
      </c>
      <c r="L328" s="72"/>
      <c r="M328" s="78"/>
    </row>
    <row r="329" spans="1:13" ht="28.5" customHeight="1">
      <c r="A329" s="21" t="s">
        <v>401</v>
      </c>
      <c r="B329" s="18" t="s">
        <v>94</v>
      </c>
      <c r="C329" s="18" t="s">
        <v>72</v>
      </c>
      <c r="D329" s="18" t="s">
        <v>402</v>
      </c>
      <c r="E329" s="18" t="s">
        <v>116</v>
      </c>
      <c r="F329" s="18"/>
      <c r="G329" s="79">
        <f t="shared" si="26"/>
        <v>35.63567</v>
      </c>
      <c r="H329" s="81">
        <f aca="true" t="shared" si="28" ref="H329:K333">H330</f>
        <v>0</v>
      </c>
      <c r="I329" s="81">
        <f t="shared" si="28"/>
        <v>0</v>
      </c>
      <c r="J329" s="81">
        <f t="shared" si="28"/>
        <v>0</v>
      </c>
      <c r="K329" s="79">
        <f t="shared" si="28"/>
        <v>35.63567</v>
      </c>
      <c r="L329" s="72"/>
      <c r="M329" s="78"/>
    </row>
    <row r="330" spans="1:13" ht="13.5" customHeight="1">
      <c r="A330" s="14" t="s">
        <v>149</v>
      </c>
      <c r="B330" s="18" t="s">
        <v>94</v>
      </c>
      <c r="C330" s="18" t="s">
        <v>72</v>
      </c>
      <c r="D330" s="18" t="s">
        <v>402</v>
      </c>
      <c r="E330" s="18" t="s">
        <v>115</v>
      </c>
      <c r="F330" s="18" t="s">
        <v>53</v>
      </c>
      <c r="G330" s="71">
        <f t="shared" si="26"/>
        <v>35.63567</v>
      </c>
      <c r="H330" s="83">
        <f>595.31-595.31</f>
        <v>0</v>
      </c>
      <c r="I330" s="83">
        <f>13.6-13.6</f>
        <v>0</v>
      </c>
      <c r="J330" s="83">
        <f>13.6+22.14276-35.74276</f>
        <v>0</v>
      </c>
      <c r="K330" s="71">
        <f>35.74276-0.10709</f>
        <v>35.63567</v>
      </c>
      <c r="L330" s="72"/>
      <c r="M330" s="78"/>
    </row>
    <row r="331" spans="1:13" ht="41.25" customHeight="1" hidden="1">
      <c r="A331" s="21" t="s">
        <v>404</v>
      </c>
      <c r="B331" s="20" t="s">
        <v>94</v>
      </c>
      <c r="C331" s="20" t="s">
        <v>72</v>
      </c>
      <c r="D331" s="20" t="s">
        <v>403</v>
      </c>
      <c r="E331" s="20" t="s">
        <v>116</v>
      </c>
      <c r="F331" s="20"/>
      <c r="G331" s="79">
        <f t="shared" si="26"/>
        <v>0</v>
      </c>
      <c r="H331" s="79">
        <f t="shared" si="28"/>
        <v>0</v>
      </c>
      <c r="I331" s="79">
        <f t="shared" si="28"/>
        <v>0</v>
      </c>
      <c r="J331" s="79">
        <f t="shared" si="28"/>
        <v>0</v>
      </c>
      <c r="K331" s="79">
        <f t="shared" si="28"/>
        <v>0</v>
      </c>
      <c r="L331" s="72"/>
      <c r="M331" s="78"/>
    </row>
    <row r="332" spans="1:13" ht="13.5" customHeight="1" hidden="1">
      <c r="A332" s="14" t="s">
        <v>149</v>
      </c>
      <c r="B332" s="18" t="s">
        <v>94</v>
      </c>
      <c r="C332" s="18" t="s">
        <v>72</v>
      </c>
      <c r="D332" s="18" t="s">
        <v>403</v>
      </c>
      <c r="E332" s="18" t="s">
        <v>115</v>
      </c>
      <c r="F332" s="18" t="s">
        <v>54</v>
      </c>
      <c r="G332" s="71">
        <f t="shared" si="26"/>
        <v>0</v>
      </c>
      <c r="H332" s="71">
        <f>115.8-115.8</f>
        <v>0</v>
      </c>
      <c r="I332" s="71">
        <f>115.8-7.302-108.498</f>
        <v>0</v>
      </c>
      <c r="J332" s="71">
        <f>108.498+2.1-110.598</f>
        <v>0</v>
      </c>
      <c r="K332" s="71">
        <f>110.598-110.598</f>
        <v>0</v>
      </c>
      <c r="L332" s="72"/>
      <c r="M332" s="78"/>
    </row>
    <row r="333" spans="1:13" ht="41.25" customHeight="1" hidden="1">
      <c r="A333" s="21" t="s">
        <v>406</v>
      </c>
      <c r="B333" s="20" t="s">
        <v>94</v>
      </c>
      <c r="C333" s="20" t="s">
        <v>72</v>
      </c>
      <c r="D333" s="20" t="s">
        <v>405</v>
      </c>
      <c r="E333" s="20" t="s">
        <v>116</v>
      </c>
      <c r="F333" s="20"/>
      <c r="G333" s="79">
        <f t="shared" si="26"/>
        <v>0</v>
      </c>
      <c r="H333" s="79">
        <f t="shared" si="28"/>
        <v>0</v>
      </c>
      <c r="I333" s="79">
        <f t="shared" si="28"/>
        <v>0</v>
      </c>
      <c r="J333" s="79">
        <f t="shared" si="28"/>
        <v>0</v>
      </c>
      <c r="K333" s="79">
        <f t="shared" si="28"/>
        <v>0</v>
      </c>
      <c r="L333" s="72"/>
      <c r="M333" s="78"/>
    </row>
    <row r="334" spans="1:13" ht="15.75" customHeight="1" hidden="1">
      <c r="A334" s="14" t="s">
        <v>149</v>
      </c>
      <c r="B334" s="18" t="s">
        <v>94</v>
      </c>
      <c r="C334" s="18" t="s">
        <v>72</v>
      </c>
      <c r="D334" s="20" t="s">
        <v>405</v>
      </c>
      <c r="E334" s="18" t="s">
        <v>115</v>
      </c>
      <c r="F334" s="18" t="s">
        <v>53</v>
      </c>
      <c r="G334" s="71">
        <f t="shared" si="26"/>
        <v>0</v>
      </c>
      <c r="H334" s="71">
        <f>4816.53-4816.53</f>
        <v>0</v>
      </c>
      <c r="I334" s="71">
        <f>4816.53-4816.53</f>
        <v>0</v>
      </c>
      <c r="J334" s="71">
        <v>0</v>
      </c>
      <c r="K334" s="71">
        <v>0</v>
      </c>
      <c r="L334" s="72"/>
      <c r="M334" s="78"/>
    </row>
    <row r="335" spans="1:13" ht="54.75" customHeight="1" hidden="1">
      <c r="A335" s="21" t="s">
        <v>460</v>
      </c>
      <c r="B335" s="20" t="s">
        <v>94</v>
      </c>
      <c r="C335" s="20" t="s">
        <v>72</v>
      </c>
      <c r="D335" s="20" t="s">
        <v>412</v>
      </c>
      <c r="E335" s="20" t="s">
        <v>116</v>
      </c>
      <c r="F335" s="20"/>
      <c r="G335" s="79">
        <f aca="true" t="shared" si="29" ref="G335:G344">H335+I335+J335+K335</f>
        <v>0</v>
      </c>
      <c r="H335" s="79">
        <f>H336</f>
        <v>0</v>
      </c>
      <c r="I335" s="79">
        <f>I336</f>
        <v>0</v>
      </c>
      <c r="J335" s="79">
        <f>J336</f>
        <v>0</v>
      </c>
      <c r="K335" s="79">
        <f>K336</f>
        <v>0</v>
      </c>
      <c r="L335" s="72"/>
      <c r="M335" s="78"/>
    </row>
    <row r="336" spans="1:13" ht="15.75" customHeight="1" hidden="1">
      <c r="A336" s="14" t="s">
        <v>149</v>
      </c>
      <c r="B336" s="18" t="s">
        <v>94</v>
      </c>
      <c r="C336" s="18" t="s">
        <v>72</v>
      </c>
      <c r="D336" s="20" t="s">
        <v>412</v>
      </c>
      <c r="E336" s="18" t="s">
        <v>115</v>
      </c>
      <c r="F336" s="18" t="s">
        <v>53</v>
      </c>
      <c r="G336" s="71">
        <f t="shared" si="29"/>
        <v>0</v>
      </c>
      <c r="H336" s="71">
        <f>4816.53-4816.53</f>
        <v>0</v>
      </c>
      <c r="I336" s="71">
        <f>4816.52579-4816.52579</f>
        <v>0</v>
      </c>
      <c r="J336" s="71">
        <f>4816.52579-4816.52579</f>
        <v>0</v>
      </c>
      <c r="K336" s="71">
        <v>0</v>
      </c>
      <c r="L336" s="72"/>
      <c r="M336" s="78"/>
    </row>
    <row r="337" spans="1:13" ht="53.25" customHeight="1">
      <c r="A337" s="21" t="s">
        <v>460</v>
      </c>
      <c r="B337" s="20" t="s">
        <v>94</v>
      </c>
      <c r="C337" s="20" t="s">
        <v>72</v>
      </c>
      <c r="D337" s="20" t="s">
        <v>461</v>
      </c>
      <c r="E337" s="20" t="s">
        <v>116</v>
      </c>
      <c r="F337" s="20"/>
      <c r="G337" s="79">
        <f>H337+I337+J337+K337</f>
        <v>4816.52579</v>
      </c>
      <c r="H337" s="81">
        <f>H338</f>
        <v>0</v>
      </c>
      <c r="I337" s="81">
        <f>I338</f>
        <v>0</v>
      </c>
      <c r="J337" s="81">
        <f>J338</f>
        <v>0</v>
      </c>
      <c r="K337" s="79">
        <f>K338</f>
        <v>4816.52579</v>
      </c>
      <c r="L337" s="72"/>
      <c r="M337" s="78"/>
    </row>
    <row r="338" spans="1:13" ht="15.75" customHeight="1">
      <c r="A338" s="14" t="s">
        <v>149</v>
      </c>
      <c r="B338" s="18" t="s">
        <v>94</v>
      </c>
      <c r="C338" s="18" t="s">
        <v>72</v>
      </c>
      <c r="D338" s="20" t="s">
        <v>461</v>
      </c>
      <c r="E338" s="18" t="s">
        <v>115</v>
      </c>
      <c r="F338" s="18" t="s">
        <v>53</v>
      </c>
      <c r="G338" s="71">
        <f>H338+I338+J338+K338</f>
        <v>4816.52579</v>
      </c>
      <c r="H338" s="83">
        <f>4816.53-4816.53</f>
        <v>0</v>
      </c>
      <c r="I338" s="83">
        <f>4816.52579-4816.52579</f>
        <v>0</v>
      </c>
      <c r="J338" s="83">
        <f>4816.52579-4816.52579</f>
        <v>0</v>
      </c>
      <c r="K338" s="71">
        <v>4816.52579</v>
      </c>
      <c r="L338" s="72"/>
      <c r="M338" s="78"/>
    </row>
    <row r="339" spans="1:13" ht="39" customHeight="1">
      <c r="A339" s="21" t="s">
        <v>432</v>
      </c>
      <c r="B339" s="20" t="s">
        <v>94</v>
      </c>
      <c r="C339" s="20" t="s">
        <v>72</v>
      </c>
      <c r="D339" s="20" t="s">
        <v>431</v>
      </c>
      <c r="E339" s="18" t="s">
        <v>116</v>
      </c>
      <c r="F339" s="18"/>
      <c r="G339" s="79">
        <f t="shared" si="29"/>
        <v>60.90261000000004</v>
      </c>
      <c r="H339" s="81">
        <f>H340</f>
        <v>0</v>
      </c>
      <c r="I339" s="81">
        <f>I340</f>
        <v>0</v>
      </c>
      <c r="J339" s="81">
        <f>J340</f>
        <v>0</v>
      </c>
      <c r="K339" s="79">
        <f>K340</f>
        <v>60.90261000000004</v>
      </c>
      <c r="L339" s="72"/>
      <c r="M339" s="78"/>
    </row>
    <row r="340" spans="1:13" ht="15.75" customHeight="1">
      <c r="A340" s="14" t="s">
        <v>149</v>
      </c>
      <c r="B340" s="18" t="s">
        <v>94</v>
      </c>
      <c r="C340" s="18" t="s">
        <v>72</v>
      </c>
      <c r="D340" s="20" t="s">
        <v>431</v>
      </c>
      <c r="E340" s="18" t="s">
        <v>115</v>
      </c>
      <c r="F340" s="18" t="s">
        <v>53</v>
      </c>
      <c r="G340" s="71">
        <f t="shared" si="29"/>
        <v>60.90261000000004</v>
      </c>
      <c r="H340" s="83">
        <f>4816.53-4816.53</f>
        <v>0</v>
      </c>
      <c r="I340" s="83">
        <f>253.50136-253.50136</f>
        <v>0</v>
      </c>
      <c r="J340" s="83">
        <f>253.50136+61.51779-315.01915</f>
        <v>0</v>
      </c>
      <c r="K340" s="71">
        <f>315.01915-254.11654</f>
        <v>60.90261000000004</v>
      </c>
      <c r="L340" s="72"/>
      <c r="M340" s="78"/>
    </row>
    <row r="341" spans="1:13" ht="40.5" customHeight="1">
      <c r="A341" s="21" t="s">
        <v>432</v>
      </c>
      <c r="B341" s="20" t="s">
        <v>94</v>
      </c>
      <c r="C341" s="20" t="s">
        <v>72</v>
      </c>
      <c r="D341" s="20" t="s">
        <v>461</v>
      </c>
      <c r="E341" s="18" t="s">
        <v>116</v>
      </c>
      <c r="F341" s="18"/>
      <c r="G341" s="79">
        <f>H341+I341+J341+K341</f>
        <v>253.50135999999998</v>
      </c>
      <c r="H341" s="81">
        <f>H342</f>
        <v>0</v>
      </c>
      <c r="I341" s="81">
        <f>I342</f>
        <v>0</v>
      </c>
      <c r="J341" s="81">
        <f>J342</f>
        <v>0</v>
      </c>
      <c r="K341" s="79">
        <f>K342</f>
        <v>253.50135999999998</v>
      </c>
      <c r="L341" s="72"/>
      <c r="M341" s="78"/>
    </row>
    <row r="342" spans="1:13" ht="15.75" customHeight="1">
      <c r="A342" s="14" t="s">
        <v>149</v>
      </c>
      <c r="B342" s="18" t="s">
        <v>94</v>
      </c>
      <c r="C342" s="18" t="s">
        <v>72</v>
      </c>
      <c r="D342" s="20" t="s">
        <v>461</v>
      </c>
      <c r="E342" s="18" t="s">
        <v>115</v>
      </c>
      <c r="F342" s="18" t="s">
        <v>53</v>
      </c>
      <c r="G342" s="71">
        <f>H342+I342+J342+K342</f>
        <v>253.50135999999998</v>
      </c>
      <c r="H342" s="83">
        <f>4816.53-4816.53</f>
        <v>0</v>
      </c>
      <c r="I342" s="83">
        <f>253.50136-253.50136</f>
        <v>0</v>
      </c>
      <c r="J342" s="83">
        <f>253.50136+61.51779-315.01915</f>
        <v>0</v>
      </c>
      <c r="K342" s="71">
        <f>254.11654-0.61518</f>
        <v>253.50135999999998</v>
      </c>
      <c r="L342" s="72"/>
      <c r="M342" s="78"/>
    </row>
    <row r="343" spans="1:13" ht="51" customHeight="1">
      <c r="A343" s="21" t="s">
        <v>433</v>
      </c>
      <c r="B343" s="20" t="s">
        <v>94</v>
      </c>
      <c r="C343" s="20" t="s">
        <v>72</v>
      </c>
      <c r="D343" s="20" t="s">
        <v>436</v>
      </c>
      <c r="E343" s="18" t="s">
        <v>116</v>
      </c>
      <c r="F343" s="18"/>
      <c r="G343" s="80">
        <f t="shared" si="29"/>
        <v>16.68</v>
      </c>
      <c r="H343" s="83">
        <f>H344</f>
        <v>0</v>
      </c>
      <c r="I343" s="80">
        <f>I344</f>
        <v>16.68</v>
      </c>
      <c r="J343" s="83">
        <f>J344</f>
        <v>0</v>
      </c>
      <c r="K343" s="83">
        <f>K344</f>
        <v>0</v>
      </c>
      <c r="L343" s="72"/>
      <c r="M343" s="78"/>
    </row>
    <row r="344" spans="1:13" ht="15.75" customHeight="1">
      <c r="A344" s="14" t="s">
        <v>149</v>
      </c>
      <c r="B344" s="18" t="s">
        <v>94</v>
      </c>
      <c r="C344" s="18" t="s">
        <v>72</v>
      </c>
      <c r="D344" s="20" t="s">
        <v>436</v>
      </c>
      <c r="E344" s="18" t="s">
        <v>115</v>
      </c>
      <c r="F344" s="18" t="s">
        <v>54</v>
      </c>
      <c r="G344" s="98">
        <f t="shared" si="29"/>
        <v>16.68</v>
      </c>
      <c r="H344" s="83">
        <f>4816.53-4816.53</f>
        <v>0</v>
      </c>
      <c r="I344" s="98">
        <f>20-3.32</f>
        <v>16.68</v>
      </c>
      <c r="J344" s="83">
        <f>3.32-3.32</f>
        <v>0</v>
      </c>
      <c r="K344" s="83">
        <f>3.32-3.32</f>
        <v>0</v>
      </c>
      <c r="L344" s="72"/>
      <c r="M344" s="78"/>
    </row>
    <row r="345" spans="1:13" ht="18" customHeight="1">
      <c r="A345" s="16" t="s">
        <v>146</v>
      </c>
      <c r="B345" s="17" t="s">
        <v>94</v>
      </c>
      <c r="C345" s="17" t="s">
        <v>95</v>
      </c>
      <c r="D345" s="17" t="s">
        <v>182</v>
      </c>
      <c r="E345" s="17" t="s">
        <v>68</v>
      </c>
      <c r="F345" s="17"/>
      <c r="G345" s="75">
        <f t="shared" si="26"/>
        <v>1076.9638300000001</v>
      </c>
      <c r="H345" s="75">
        <f aca="true" t="shared" si="30" ref="H345:K346">H346</f>
        <v>202.93019000000004</v>
      </c>
      <c r="I345" s="75">
        <f t="shared" si="30"/>
        <v>315.35978</v>
      </c>
      <c r="J345" s="75">
        <f t="shared" si="30"/>
        <v>306.65539</v>
      </c>
      <c r="K345" s="75">
        <f t="shared" si="30"/>
        <v>252.01846999999998</v>
      </c>
      <c r="L345" s="70"/>
      <c r="M345" s="70"/>
    </row>
    <row r="346" spans="1:13" ht="64.5" customHeight="1">
      <c r="A346" s="16" t="s">
        <v>378</v>
      </c>
      <c r="B346" s="17" t="s">
        <v>94</v>
      </c>
      <c r="C346" s="17" t="s">
        <v>95</v>
      </c>
      <c r="D346" s="17" t="s">
        <v>208</v>
      </c>
      <c r="E346" s="17" t="s">
        <v>68</v>
      </c>
      <c r="F346" s="18"/>
      <c r="G346" s="75">
        <f t="shared" si="26"/>
        <v>1076.9638300000001</v>
      </c>
      <c r="H346" s="75">
        <f t="shared" si="30"/>
        <v>202.93019000000004</v>
      </c>
      <c r="I346" s="75">
        <f t="shared" si="30"/>
        <v>315.35978</v>
      </c>
      <c r="J346" s="75">
        <f t="shared" si="30"/>
        <v>306.65539</v>
      </c>
      <c r="K346" s="75">
        <f t="shared" si="30"/>
        <v>252.01846999999998</v>
      </c>
      <c r="L346" s="70"/>
      <c r="M346" s="70"/>
    </row>
    <row r="347" spans="1:19" s="4" customFormat="1" ht="46.5" customHeight="1">
      <c r="A347" s="21" t="s">
        <v>209</v>
      </c>
      <c r="B347" s="20" t="s">
        <v>94</v>
      </c>
      <c r="C347" s="20" t="s">
        <v>95</v>
      </c>
      <c r="D347" s="20" t="s">
        <v>210</v>
      </c>
      <c r="E347" s="20" t="s">
        <v>119</v>
      </c>
      <c r="F347" s="20" t="s">
        <v>43</v>
      </c>
      <c r="G347" s="79">
        <f t="shared" si="26"/>
        <v>1076.9638300000001</v>
      </c>
      <c r="H347" s="79">
        <f>H348+H350</f>
        <v>202.93019000000004</v>
      </c>
      <c r="I347" s="79">
        <f>I348+I350</f>
        <v>315.35978</v>
      </c>
      <c r="J347" s="79">
        <f>J348+J350</f>
        <v>306.65539</v>
      </c>
      <c r="K347" s="79">
        <f>K348+K350+K349</f>
        <v>252.01846999999998</v>
      </c>
      <c r="L347" s="85"/>
      <c r="M347" s="85"/>
      <c r="N347" s="86"/>
      <c r="O347" s="86"/>
      <c r="P347" s="86"/>
      <c r="Q347" s="86"/>
      <c r="R347" s="86"/>
      <c r="S347" s="86"/>
    </row>
    <row r="348" spans="1:13" ht="15" customHeight="1">
      <c r="A348" s="14" t="s">
        <v>18</v>
      </c>
      <c r="B348" s="18" t="s">
        <v>94</v>
      </c>
      <c r="C348" s="18" t="s">
        <v>95</v>
      </c>
      <c r="D348" s="18" t="s">
        <v>210</v>
      </c>
      <c r="E348" s="18" t="s">
        <v>120</v>
      </c>
      <c r="F348" s="18" t="s">
        <v>44</v>
      </c>
      <c r="G348" s="71">
        <f t="shared" si="26"/>
        <v>830.90376</v>
      </c>
      <c r="H348" s="71">
        <f>181.8-22.50381</f>
        <v>159.29619000000002</v>
      </c>
      <c r="I348" s="71">
        <f>224.6+22.50381-6.40617</f>
        <v>240.69764</v>
      </c>
      <c r="J348" s="71">
        <v>238.49995</v>
      </c>
      <c r="K348" s="71">
        <f>259.81622-67.40624</f>
        <v>192.40998</v>
      </c>
      <c r="L348" s="72"/>
      <c r="M348" s="72"/>
    </row>
    <row r="349" spans="1:13" ht="12.75" customHeight="1" hidden="1">
      <c r="A349" s="14" t="s">
        <v>19</v>
      </c>
      <c r="B349" s="18" t="s">
        <v>94</v>
      </c>
      <c r="C349" s="18" t="s">
        <v>95</v>
      </c>
      <c r="D349" s="18" t="s">
        <v>210</v>
      </c>
      <c r="E349" s="18" t="s">
        <v>125</v>
      </c>
      <c r="F349" s="18" t="s">
        <v>45</v>
      </c>
      <c r="G349" s="71">
        <f>K349</f>
        <v>0</v>
      </c>
      <c r="H349" s="71">
        <v>0</v>
      </c>
      <c r="I349" s="71">
        <v>0</v>
      </c>
      <c r="J349" s="71">
        <v>0</v>
      </c>
      <c r="K349" s="71">
        <v>0</v>
      </c>
      <c r="L349" s="72"/>
      <c r="M349" s="72"/>
    </row>
    <row r="350" spans="1:13" ht="13.5" customHeight="1">
      <c r="A350" s="14" t="s">
        <v>20</v>
      </c>
      <c r="B350" s="18" t="s">
        <v>94</v>
      </c>
      <c r="C350" s="18" t="s">
        <v>95</v>
      </c>
      <c r="D350" s="18" t="s">
        <v>210</v>
      </c>
      <c r="E350" s="18" t="s">
        <v>304</v>
      </c>
      <c r="F350" s="18" t="s">
        <v>46</v>
      </c>
      <c r="G350" s="71">
        <f>H350+I350+J350+K350</f>
        <v>246.06007</v>
      </c>
      <c r="H350" s="97">
        <f>54.93-11.296</f>
        <v>43.634</v>
      </c>
      <c r="I350" s="71">
        <f>67.83+11.296-4.46386</f>
        <v>74.66214000000001</v>
      </c>
      <c r="J350" s="71">
        <f>64.6+3.23+4.46386-4.13842</f>
        <v>68.15544</v>
      </c>
      <c r="K350" s="71">
        <f>80.7+4.13842-25.22993</f>
        <v>59.60849</v>
      </c>
      <c r="L350" s="72"/>
      <c r="M350" s="72"/>
    </row>
    <row r="351" spans="1:13" ht="13.5" customHeight="1">
      <c r="A351" s="12" t="s">
        <v>284</v>
      </c>
      <c r="B351" s="25" t="s">
        <v>94</v>
      </c>
      <c r="C351" s="25" t="s">
        <v>285</v>
      </c>
      <c r="D351" s="17" t="s">
        <v>182</v>
      </c>
      <c r="E351" s="25" t="s">
        <v>68</v>
      </c>
      <c r="F351" s="25"/>
      <c r="G351" s="110">
        <f>H351+I351+J351+K351</f>
        <v>630</v>
      </c>
      <c r="H351" s="110">
        <f aca="true" t="shared" si="31" ref="H351:K352">H352</f>
        <v>0</v>
      </c>
      <c r="I351" s="110">
        <f t="shared" si="31"/>
        <v>400</v>
      </c>
      <c r="J351" s="110">
        <f t="shared" si="31"/>
        <v>0</v>
      </c>
      <c r="K351" s="110">
        <f t="shared" si="31"/>
        <v>230</v>
      </c>
      <c r="L351" s="72"/>
      <c r="M351" s="72"/>
    </row>
    <row r="352" spans="1:13" ht="44.25" customHeight="1">
      <c r="A352" s="16" t="s">
        <v>286</v>
      </c>
      <c r="B352" s="17" t="s">
        <v>94</v>
      </c>
      <c r="C352" s="17" t="s">
        <v>287</v>
      </c>
      <c r="D352" s="17" t="s">
        <v>288</v>
      </c>
      <c r="E352" s="17" t="s">
        <v>148</v>
      </c>
      <c r="F352" s="17"/>
      <c r="G352" s="105">
        <f>H352+I352+J352+K352</f>
        <v>630</v>
      </c>
      <c r="H352" s="105">
        <f t="shared" si="31"/>
        <v>0</v>
      </c>
      <c r="I352" s="105">
        <f t="shared" si="31"/>
        <v>400</v>
      </c>
      <c r="J352" s="105">
        <f t="shared" si="31"/>
        <v>0</v>
      </c>
      <c r="K352" s="105">
        <f t="shared" si="31"/>
        <v>230</v>
      </c>
      <c r="L352" s="72"/>
      <c r="M352" s="72"/>
    </row>
    <row r="353" spans="1:13" ht="21.75" customHeight="1">
      <c r="A353" s="13" t="s">
        <v>149</v>
      </c>
      <c r="B353" s="18" t="s">
        <v>94</v>
      </c>
      <c r="C353" s="18" t="s">
        <v>287</v>
      </c>
      <c r="D353" s="18" t="s">
        <v>288</v>
      </c>
      <c r="E353" s="18" t="s">
        <v>115</v>
      </c>
      <c r="F353" s="18" t="s">
        <v>53</v>
      </c>
      <c r="G353" s="83">
        <f>H353+I353+J353+K353</f>
        <v>630</v>
      </c>
      <c r="H353" s="83">
        <f>200-200</f>
        <v>0</v>
      </c>
      <c r="I353" s="83">
        <f>200+200</f>
        <v>400</v>
      </c>
      <c r="J353" s="83">
        <f>230-230</f>
        <v>0</v>
      </c>
      <c r="K353" s="83">
        <v>230</v>
      </c>
      <c r="L353" s="72"/>
      <c r="M353" s="72"/>
    </row>
    <row r="354" spans="1:13" ht="16.5" customHeight="1">
      <c r="A354" s="22" t="s">
        <v>75</v>
      </c>
      <c r="B354" s="25" t="s">
        <v>94</v>
      </c>
      <c r="C354" s="25" t="s">
        <v>147</v>
      </c>
      <c r="D354" s="25" t="s">
        <v>182</v>
      </c>
      <c r="E354" s="25" t="s">
        <v>68</v>
      </c>
      <c r="F354" s="25"/>
      <c r="G354" s="110">
        <f>H354+I354+J354+K354</f>
        <v>110</v>
      </c>
      <c r="H354" s="110">
        <f aca="true" t="shared" si="32" ref="H354:K355">H355</f>
        <v>0</v>
      </c>
      <c r="I354" s="109">
        <f t="shared" si="32"/>
        <v>71.5</v>
      </c>
      <c r="J354" s="110">
        <f t="shared" si="32"/>
        <v>0</v>
      </c>
      <c r="K354" s="109">
        <f t="shared" si="32"/>
        <v>38.5</v>
      </c>
      <c r="L354" s="70"/>
      <c r="M354" s="70"/>
    </row>
    <row r="355" spans="1:13" ht="25.5" customHeight="1">
      <c r="A355" s="16" t="s">
        <v>385</v>
      </c>
      <c r="B355" s="17" t="s">
        <v>94</v>
      </c>
      <c r="C355" s="17" t="s">
        <v>82</v>
      </c>
      <c r="D355" s="17" t="s">
        <v>224</v>
      </c>
      <c r="E355" s="17" t="s">
        <v>148</v>
      </c>
      <c r="F355" s="17"/>
      <c r="G355" s="105">
        <f>G356</f>
        <v>110</v>
      </c>
      <c r="H355" s="105">
        <f t="shared" si="32"/>
        <v>0</v>
      </c>
      <c r="I355" s="104">
        <f t="shared" si="32"/>
        <v>71.5</v>
      </c>
      <c r="J355" s="105">
        <f t="shared" si="32"/>
        <v>0</v>
      </c>
      <c r="K355" s="104">
        <f t="shared" si="32"/>
        <v>38.5</v>
      </c>
      <c r="L355" s="70"/>
      <c r="M355" s="70"/>
    </row>
    <row r="356" spans="1:13" ht="46.5" customHeight="1">
      <c r="A356" s="21" t="s">
        <v>225</v>
      </c>
      <c r="B356" s="20" t="s">
        <v>94</v>
      </c>
      <c r="C356" s="20" t="s">
        <v>82</v>
      </c>
      <c r="D356" s="20" t="s">
        <v>265</v>
      </c>
      <c r="E356" s="20" t="s">
        <v>116</v>
      </c>
      <c r="F356" s="31"/>
      <c r="G356" s="81">
        <f>H356+I356+J356+K356</f>
        <v>110</v>
      </c>
      <c r="H356" s="81">
        <f>H358+H359+H357</f>
        <v>0</v>
      </c>
      <c r="I356" s="82">
        <f>I358+I359+I357</f>
        <v>71.5</v>
      </c>
      <c r="J356" s="81">
        <f>J358+J359+J357</f>
        <v>0</v>
      </c>
      <c r="K356" s="82">
        <f>K358+K359+K357</f>
        <v>38.5</v>
      </c>
      <c r="L356" s="70"/>
      <c r="M356" s="70"/>
    </row>
    <row r="357" spans="1:13" ht="12" customHeight="1">
      <c r="A357" s="14" t="s">
        <v>23</v>
      </c>
      <c r="B357" s="20" t="s">
        <v>94</v>
      </c>
      <c r="C357" s="20" t="s">
        <v>82</v>
      </c>
      <c r="D357" s="20" t="s">
        <v>265</v>
      </c>
      <c r="E357" s="20" t="s">
        <v>115</v>
      </c>
      <c r="F357" s="18" t="s">
        <v>51</v>
      </c>
      <c r="G357" s="83">
        <f>H357+I357+J357+K357</f>
        <v>12</v>
      </c>
      <c r="H357" s="83">
        <v>0</v>
      </c>
      <c r="I357" s="83">
        <v>12</v>
      </c>
      <c r="J357" s="83">
        <v>0</v>
      </c>
      <c r="K357" s="83">
        <v>0</v>
      </c>
      <c r="L357" s="70"/>
      <c r="M357" s="70"/>
    </row>
    <row r="358" spans="1:13" ht="12.75" customHeight="1">
      <c r="A358" s="13" t="s">
        <v>33</v>
      </c>
      <c r="B358" s="18" t="s">
        <v>94</v>
      </c>
      <c r="C358" s="18" t="s">
        <v>82</v>
      </c>
      <c r="D358" s="18" t="s">
        <v>265</v>
      </c>
      <c r="E358" s="18" t="s">
        <v>115</v>
      </c>
      <c r="F358" s="18" t="s">
        <v>55</v>
      </c>
      <c r="G358" s="84">
        <f>H358+I358+J358+K358</f>
        <v>88.5</v>
      </c>
      <c r="H358" s="83">
        <v>0</v>
      </c>
      <c r="I358" s="83">
        <f>86-21.5-14.5</f>
        <v>50</v>
      </c>
      <c r="J358" s="83">
        <f>14.5-14.5</f>
        <v>0</v>
      </c>
      <c r="K358" s="84">
        <f>82+14.5-58</f>
        <v>38.5</v>
      </c>
      <c r="L358" s="87"/>
      <c r="M358" s="72"/>
    </row>
    <row r="359" spans="1:13" ht="12.75" customHeight="1">
      <c r="A359" s="14" t="s">
        <v>39</v>
      </c>
      <c r="B359" s="18" t="s">
        <v>94</v>
      </c>
      <c r="C359" s="18" t="s">
        <v>82</v>
      </c>
      <c r="D359" s="18" t="s">
        <v>265</v>
      </c>
      <c r="E359" s="18" t="s">
        <v>115</v>
      </c>
      <c r="F359" s="18" t="s">
        <v>59</v>
      </c>
      <c r="G359" s="84">
        <f>H359+I359+J359+K359</f>
        <v>9.5</v>
      </c>
      <c r="H359" s="83">
        <v>0</v>
      </c>
      <c r="I359" s="84">
        <v>9.5</v>
      </c>
      <c r="J359" s="83">
        <v>0</v>
      </c>
      <c r="K359" s="83">
        <v>0</v>
      </c>
      <c r="L359" s="87"/>
      <c r="M359" s="72"/>
    </row>
    <row r="360" spans="1:13" ht="15.75" customHeight="1">
      <c r="A360" s="22" t="s">
        <v>83</v>
      </c>
      <c r="B360" s="25"/>
      <c r="C360" s="25"/>
      <c r="D360" s="25"/>
      <c r="E360" s="25"/>
      <c r="F360" s="25"/>
      <c r="G360" s="69">
        <f>SUM(H360:K360)</f>
        <v>18613.46508</v>
      </c>
      <c r="H360" s="69">
        <f>H361+H365+H382+H383+H384+H381</f>
        <v>3713.69624</v>
      </c>
      <c r="I360" s="69">
        <f>I361+I365+I382+I383+I384+I381</f>
        <v>5225.36921</v>
      </c>
      <c r="J360" s="69">
        <f>J361+J365+J382+J383+J384+J381</f>
        <v>4683.221390000001</v>
      </c>
      <c r="K360" s="69">
        <f>K361+K365+K382+K383+K384+K381</f>
        <v>4991.17824</v>
      </c>
      <c r="L360" s="70"/>
      <c r="M360" s="70"/>
    </row>
    <row r="361" spans="1:13" ht="14.25" customHeight="1">
      <c r="A361" s="13" t="s">
        <v>17</v>
      </c>
      <c r="B361" s="18"/>
      <c r="C361" s="18"/>
      <c r="D361" s="18"/>
      <c r="E361" s="18"/>
      <c r="F361" s="18" t="s">
        <v>43</v>
      </c>
      <c r="G361" s="71">
        <f>H361+I361+J361+K361</f>
        <v>15981.99402</v>
      </c>
      <c r="H361" s="71">
        <f>H362+H363+H364</f>
        <v>3031.53693</v>
      </c>
      <c r="I361" s="71">
        <f>I362+I363+I364</f>
        <v>4539.60274</v>
      </c>
      <c r="J361" s="71">
        <f>J362+J363+J364</f>
        <v>4375.0651100000005</v>
      </c>
      <c r="K361" s="71">
        <f>K362+K363+K364</f>
        <v>4035.78924</v>
      </c>
      <c r="L361" s="72"/>
      <c r="M361" s="72"/>
    </row>
    <row r="362" spans="1:13" ht="13.5" customHeight="1">
      <c r="A362" s="14" t="s">
        <v>18</v>
      </c>
      <c r="B362" s="18"/>
      <c r="C362" s="18"/>
      <c r="D362" s="18"/>
      <c r="E362" s="18"/>
      <c r="F362" s="18" t="s">
        <v>44</v>
      </c>
      <c r="G362" s="71">
        <f>H362+I362+J362+K362</f>
        <v>12285.51019</v>
      </c>
      <c r="H362" s="94">
        <f>H411+H440+H485+H489+H477+H481+H434</f>
        <v>2359.0169</v>
      </c>
      <c r="I362" s="71">
        <f>I411+I440+I485+I489+I477+I481+I434</f>
        <v>3467.33776</v>
      </c>
      <c r="J362" s="71">
        <f>J411+J440+J485+J489+J477+J481+J434</f>
        <v>3352.0713800000003</v>
      </c>
      <c r="K362" s="71">
        <f>K411+K440+K485+K489+K477+K481+K434</f>
        <v>3107.08415</v>
      </c>
      <c r="L362" s="72"/>
      <c r="M362" s="72"/>
    </row>
    <row r="363" spans="1:13" ht="12" customHeight="1" hidden="1">
      <c r="A363" s="14" t="s">
        <v>19</v>
      </c>
      <c r="B363" s="18"/>
      <c r="C363" s="18"/>
      <c r="D363" s="18"/>
      <c r="E363" s="18"/>
      <c r="F363" s="18" t="s">
        <v>45</v>
      </c>
      <c r="G363" s="71"/>
      <c r="H363" s="71"/>
      <c r="I363" s="71"/>
      <c r="J363" s="71"/>
      <c r="K363" s="71"/>
      <c r="L363" s="72"/>
      <c r="M363" s="72"/>
    </row>
    <row r="364" spans="1:13" ht="12.75" customHeight="1">
      <c r="A364" s="14" t="s">
        <v>20</v>
      </c>
      <c r="B364" s="18"/>
      <c r="C364" s="18"/>
      <c r="D364" s="18"/>
      <c r="E364" s="18"/>
      <c r="F364" s="18" t="s">
        <v>46</v>
      </c>
      <c r="G364" s="71">
        <f>H364+I364+J364+K364</f>
        <v>3696.48383</v>
      </c>
      <c r="H364" s="71">
        <f>H413+H442+H486+H490+H478+H482+H435</f>
        <v>672.52003</v>
      </c>
      <c r="I364" s="71">
        <f>I413+I442+I486+I490+I478+I482+I435</f>
        <v>1072.26498</v>
      </c>
      <c r="J364" s="71">
        <f>J413+J442+J486+J490+J478+J482+J435</f>
        <v>1022.9937300000001</v>
      </c>
      <c r="K364" s="71">
        <f>K413+K442+K486+K490+K478+K482+K435</f>
        <v>928.70509</v>
      </c>
      <c r="L364" s="72"/>
      <c r="M364" s="72"/>
    </row>
    <row r="365" spans="1:13" ht="15.75" customHeight="1">
      <c r="A365" s="14" t="s">
        <v>21</v>
      </c>
      <c r="B365" s="18"/>
      <c r="C365" s="18"/>
      <c r="D365" s="18"/>
      <c r="E365" s="18"/>
      <c r="F365" s="18" t="s">
        <v>49</v>
      </c>
      <c r="G365" s="71">
        <f>H365+I365+J365+K365</f>
        <v>2105.6477999999997</v>
      </c>
      <c r="H365" s="71">
        <f>H366+H367+H368+H373+H380</f>
        <v>569.29856</v>
      </c>
      <c r="I365" s="71">
        <f>I366+I367+I368+I373+I380</f>
        <v>511.02946999999995</v>
      </c>
      <c r="J365" s="71">
        <f>J366+J368+J373+J380</f>
        <v>246.40920999999997</v>
      </c>
      <c r="K365" s="71">
        <f>K366+K368+K373+K380</f>
        <v>778.9105599999999</v>
      </c>
      <c r="L365" s="72"/>
      <c r="M365" s="72"/>
    </row>
    <row r="366" spans="1:13" ht="15.75" customHeight="1">
      <c r="A366" s="14" t="s">
        <v>22</v>
      </c>
      <c r="B366" s="18"/>
      <c r="C366" s="18"/>
      <c r="D366" s="18"/>
      <c r="E366" s="18"/>
      <c r="F366" s="18" t="s">
        <v>50</v>
      </c>
      <c r="G366" s="71">
        <f>H366+I366+J366+K366</f>
        <v>32.12456999999999</v>
      </c>
      <c r="H366" s="71">
        <f>H415+H444</f>
        <v>6.25326</v>
      </c>
      <c r="I366" s="71">
        <f>I415+I444</f>
        <v>7.186519999999998</v>
      </c>
      <c r="J366" s="71">
        <f>J415+J444</f>
        <v>7.864399999999998</v>
      </c>
      <c r="K366" s="71">
        <f>K415+K444</f>
        <v>10.82039</v>
      </c>
      <c r="L366" s="72"/>
      <c r="M366" s="72"/>
    </row>
    <row r="367" spans="1:13" ht="15.75" customHeight="1">
      <c r="A367" s="14" t="s">
        <v>23</v>
      </c>
      <c r="B367" s="18"/>
      <c r="C367" s="18"/>
      <c r="D367" s="18"/>
      <c r="E367" s="18"/>
      <c r="F367" s="18" t="s">
        <v>51</v>
      </c>
      <c r="G367" s="83">
        <f>H367+I367+J367+K367</f>
        <v>9</v>
      </c>
      <c r="H367" s="83">
        <f>H402</f>
        <v>0</v>
      </c>
      <c r="I367" s="83">
        <f>I402</f>
        <v>9</v>
      </c>
      <c r="J367" s="83">
        <f>J402</f>
        <v>0</v>
      </c>
      <c r="K367" s="83">
        <f>K402</f>
        <v>0</v>
      </c>
      <c r="L367" s="72"/>
      <c r="M367" s="72"/>
    </row>
    <row r="368" spans="1:13" ht="15.75" customHeight="1">
      <c r="A368" s="14" t="s">
        <v>24</v>
      </c>
      <c r="B368" s="18"/>
      <c r="C368" s="18"/>
      <c r="D368" s="18"/>
      <c r="E368" s="18"/>
      <c r="F368" s="18" t="s">
        <v>52</v>
      </c>
      <c r="G368" s="71">
        <f>H368+I368+J368+K368</f>
        <v>1352.21382</v>
      </c>
      <c r="H368" s="71">
        <f>H370+H371+H372</f>
        <v>474.45638</v>
      </c>
      <c r="I368" s="71">
        <f>I370+I371+I372</f>
        <v>322.65356999999995</v>
      </c>
      <c r="J368" s="71">
        <f>J370+J371+J372</f>
        <v>157.70003</v>
      </c>
      <c r="K368" s="71">
        <f>K370+K371+K372</f>
        <v>397.40384</v>
      </c>
      <c r="L368" s="72"/>
      <c r="M368" s="72"/>
    </row>
    <row r="369" spans="1:13" ht="11.25" customHeight="1">
      <c r="A369" s="14" t="s">
        <v>25</v>
      </c>
      <c r="B369" s="18"/>
      <c r="C369" s="18"/>
      <c r="D369" s="18"/>
      <c r="E369" s="18"/>
      <c r="F369" s="18"/>
      <c r="G369" s="71"/>
      <c r="H369" s="71"/>
      <c r="I369" s="71"/>
      <c r="J369" s="71"/>
      <c r="K369" s="71"/>
      <c r="L369" s="72"/>
      <c r="M369" s="72"/>
    </row>
    <row r="370" spans="1:13" ht="15.75" customHeight="1">
      <c r="A370" s="14" t="s">
        <v>26</v>
      </c>
      <c r="B370" s="18"/>
      <c r="C370" s="18"/>
      <c r="D370" s="18"/>
      <c r="E370" s="18"/>
      <c r="F370" s="18" t="s">
        <v>52</v>
      </c>
      <c r="G370" s="71">
        <f>H370+I370+J370+K370</f>
        <v>979.74158</v>
      </c>
      <c r="H370" s="71">
        <f aca="true" t="shared" si="33" ref="H370:K372">H419+H448</f>
        <v>347.38611000000003</v>
      </c>
      <c r="I370" s="71">
        <f t="shared" si="33"/>
        <v>236.74985999999998</v>
      </c>
      <c r="J370" s="71">
        <f t="shared" si="33"/>
        <v>107.00528</v>
      </c>
      <c r="K370" s="71">
        <f t="shared" si="33"/>
        <v>288.60033</v>
      </c>
      <c r="L370" s="72"/>
      <c r="M370" s="72"/>
    </row>
    <row r="371" spans="1:13" ht="15.75" customHeight="1">
      <c r="A371" s="14" t="s">
        <v>27</v>
      </c>
      <c r="B371" s="18"/>
      <c r="C371" s="18"/>
      <c r="D371" s="18"/>
      <c r="E371" s="18"/>
      <c r="F371" s="18" t="s">
        <v>52</v>
      </c>
      <c r="G371" s="71">
        <f>H371+I371+J371+K371</f>
        <v>361.53919</v>
      </c>
      <c r="H371" s="71">
        <f t="shared" si="33"/>
        <v>124.97363</v>
      </c>
      <c r="I371" s="71">
        <f t="shared" si="33"/>
        <v>83.51587</v>
      </c>
      <c r="J371" s="71">
        <f t="shared" si="33"/>
        <v>47.72096</v>
      </c>
      <c r="K371" s="71">
        <f t="shared" si="33"/>
        <v>105.32873000000001</v>
      </c>
      <c r="L371" s="72"/>
      <c r="M371" s="72"/>
    </row>
    <row r="372" spans="1:13" ht="20.25" customHeight="1">
      <c r="A372" s="14" t="s">
        <v>28</v>
      </c>
      <c r="B372" s="18"/>
      <c r="C372" s="18"/>
      <c r="D372" s="18"/>
      <c r="E372" s="18"/>
      <c r="F372" s="18" t="s">
        <v>52</v>
      </c>
      <c r="G372" s="71">
        <f>H372+I372+J372+K372</f>
        <v>10.933050000000003</v>
      </c>
      <c r="H372" s="71">
        <f t="shared" si="33"/>
        <v>2.09664</v>
      </c>
      <c r="I372" s="71">
        <f t="shared" si="33"/>
        <v>2.3878400000000037</v>
      </c>
      <c r="J372" s="71">
        <f t="shared" si="33"/>
        <v>2.973789999999999</v>
      </c>
      <c r="K372" s="71">
        <f t="shared" si="33"/>
        <v>3.4747800000000004</v>
      </c>
      <c r="L372" s="72"/>
      <c r="M372" s="72"/>
    </row>
    <row r="373" spans="1:13" ht="15.75" customHeight="1">
      <c r="A373" s="14" t="s">
        <v>29</v>
      </c>
      <c r="B373" s="18"/>
      <c r="C373" s="18"/>
      <c r="D373" s="18"/>
      <c r="E373" s="18"/>
      <c r="F373" s="18" t="s">
        <v>53</v>
      </c>
      <c r="G373" s="71">
        <f>H373+I373+J373+K373</f>
        <v>198.51992</v>
      </c>
      <c r="H373" s="71">
        <f>H375+H377</f>
        <v>32.432919999999996</v>
      </c>
      <c r="I373" s="71">
        <f>I375+I377</f>
        <v>50.450379999999996</v>
      </c>
      <c r="J373" s="71">
        <f>J375+J377</f>
        <v>53.04478</v>
      </c>
      <c r="K373" s="71">
        <f>K375+K377</f>
        <v>62.59184000000001</v>
      </c>
      <c r="L373" s="72"/>
      <c r="M373" s="72"/>
    </row>
    <row r="374" spans="1:13" ht="12.75" customHeight="1">
      <c r="A374" s="14" t="s">
        <v>25</v>
      </c>
      <c r="B374" s="18"/>
      <c r="C374" s="18"/>
      <c r="D374" s="18"/>
      <c r="E374" s="18"/>
      <c r="F374" s="18"/>
      <c r="G374" s="71"/>
      <c r="H374" s="71"/>
      <c r="I374" s="71"/>
      <c r="J374" s="71"/>
      <c r="K374" s="71"/>
      <c r="L374" s="72"/>
      <c r="M374" s="72"/>
    </row>
    <row r="375" spans="1:13" ht="15.75" customHeight="1">
      <c r="A375" s="14" t="s">
        <v>30</v>
      </c>
      <c r="B375" s="18"/>
      <c r="C375" s="18"/>
      <c r="D375" s="18"/>
      <c r="E375" s="18"/>
      <c r="F375" s="18" t="s">
        <v>53</v>
      </c>
      <c r="G375" s="71">
        <f>H375+I375+J375+K375</f>
        <v>198.51992</v>
      </c>
      <c r="H375" s="71">
        <f>H424+H453</f>
        <v>32.432919999999996</v>
      </c>
      <c r="I375" s="71">
        <f>I424+I453</f>
        <v>50.450379999999996</v>
      </c>
      <c r="J375" s="71">
        <f>J424+J453</f>
        <v>53.04478</v>
      </c>
      <c r="K375" s="71">
        <f>K424+K453</f>
        <v>62.59184000000001</v>
      </c>
      <c r="L375" s="72"/>
      <c r="M375" s="72"/>
    </row>
    <row r="376" spans="1:13" ht="15.75" customHeight="1" hidden="1">
      <c r="A376" s="14" t="s">
        <v>76</v>
      </c>
      <c r="B376" s="18"/>
      <c r="C376" s="18"/>
      <c r="D376" s="18"/>
      <c r="E376" s="18"/>
      <c r="F376" s="18" t="s">
        <v>53</v>
      </c>
      <c r="G376" s="71"/>
      <c r="H376" s="71"/>
      <c r="I376" s="71"/>
      <c r="J376" s="71"/>
      <c r="K376" s="71"/>
      <c r="L376" s="72"/>
      <c r="M376" s="72"/>
    </row>
    <row r="377" spans="1:13" ht="15.75" customHeight="1" hidden="1">
      <c r="A377" s="14" t="s">
        <v>31</v>
      </c>
      <c r="B377" s="18"/>
      <c r="C377" s="18"/>
      <c r="D377" s="18"/>
      <c r="E377" s="18"/>
      <c r="F377" s="18" t="s">
        <v>53</v>
      </c>
      <c r="G377" s="71">
        <f>H377+I377+J377+K377</f>
        <v>0</v>
      </c>
      <c r="H377" s="71">
        <f>H397+H399</f>
        <v>0</v>
      </c>
      <c r="I377" s="71">
        <f>I397+I399</f>
        <v>0</v>
      </c>
      <c r="J377" s="71">
        <f>J397+J399</f>
        <v>0</v>
      </c>
      <c r="K377" s="71">
        <f>K397+K399</f>
        <v>0</v>
      </c>
      <c r="L377" s="72"/>
      <c r="M377" s="72"/>
    </row>
    <row r="378" spans="1:13" ht="15.75" customHeight="1" hidden="1">
      <c r="A378" s="14" t="s">
        <v>77</v>
      </c>
      <c r="B378" s="18"/>
      <c r="C378" s="18"/>
      <c r="D378" s="18"/>
      <c r="E378" s="18"/>
      <c r="F378" s="18" t="s">
        <v>53</v>
      </c>
      <c r="G378" s="71"/>
      <c r="H378" s="71"/>
      <c r="I378" s="71"/>
      <c r="J378" s="71"/>
      <c r="K378" s="71"/>
      <c r="L378" s="72"/>
      <c r="M378" s="72"/>
    </row>
    <row r="379" spans="1:13" ht="15.75" customHeight="1" hidden="1">
      <c r="A379" s="14" t="s">
        <v>78</v>
      </c>
      <c r="B379" s="18"/>
      <c r="C379" s="18"/>
      <c r="D379" s="18"/>
      <c r="E379" s="18"/>
      <c r="F379" s="18" t="s">
        <v>53</v>
      </c>
      <c r="G379" s="71"/>
      <c r="H379" s="71"/>
      <c r="I379" s="71"/>
      <c r="J379" s="71"/>
      <c r="K379" s="71"/>
      <c r="L379" s="72"/>
      <c r="M379" s="72"/>
    </row>
    <row r="380" spans="1:13" ht="15.75" customHeight="1">
      <c r="A380" s="14" t="s">
        <v>32</v>
      </c>
      <c r="B380" s="18"/>
      <c r="C380" s="18"/>
      <c r="D380" s="18"/>
      <c r="E380" s="18"/>
      <c r="F380" s="18" t="s">
        <v>54</v>
      </c>
      <c r="G380" s="71">
        <f>H380+I380+J380+K380</f>
        <v>513.7894899999999</v>
      </c>
      <c r="H380" s="97">
        <f>H429+H458+H403</f>
        <v>56.156</v>
      </c>
      <c r="I380" s="97">
        <f>I429+I458+I403</f>
        <v>121.739</v>
      </c>
      <c r="J380" s="84">
        <f>J429+J458+J403</f>
        <v>27.799999999999997</v>
      </c>
      <c r="K380" s="71">
        <f>K429+K458+K403</f>
        <v>308.09448999999995</v>
      </c>
      <c r="L380" s="72"/>
      <c r="M380" s="72"/>
    </row>
    <row r="381" spans="1:13" ht="14.25" customHeight="1" hidden="1">
      <c r="A381" s="32" t="s">
        <v>154</v>
      </c>
      <c r="B381" s="18"/>
      <c r="C381" s="18"/>
      <c r="D381" s="18"/>
      <c r="E381" s="18"/>
      <c r="F381" s="18" t="s">
        <v>69</v>
      </c>
      <c r="G381" s="71">
        <f>H381+I381+J381+K381</f>
        <v>0</v>
      </c>
      <c r="H381" s="71"/>
      <c r="I381" s="71"/>
      <c r="J381" s="71"/>
      <c r="K381" s="71"/>
      <c r="L381" s="72"/>
      <c r="M381" s="72"/>
    </row>
    <row r="382" spans="1:13" ht="15.75" customHeight="1" hidden="1">
      <c r="A382" s="14" t="s">
        <v>34</v>
      </c>
      <c r="B382" s="18"/>
      <c r="C382" s="18"/>
      <c r="D382" s="18"/>
      <c r="E382" s="18"/>
      <c r="F382" s="18" t="s">
        <v>56</v>
      </c>
      <c r="G382" s="71"/>
      <c r="H382" s="71"/>
      <c r="I382" s="71"/>
      <c r="J382" s="71"/>
      <c r="K382" s="71"/>
      <c r="L382" s="72"/>
      <c r="M382" s="72"/>
    </row>
    <row r="383" spans="1:13" ht="15.75" customHeight="1">
      <c r="A383" s="14" t="s">
        <v>33</v>
      </c>
      <c r="B383" s="18"/>
      <c r="C383" s="18"/>
      <c r="D383" s="18"/>
      <c r="E383" s="18"/>
      <c r="F383" s="18" t="s">
        <v>55</v>
      </c>
      <c r="G383" s="71">
        <f>H383+I383+J383+K383</f>
        <v>316.89554</v>
      </c>
      <c r="H383" s="71">
        <f>H431+H460+H404</f>
        <v>105.14075</v>
      </c>
      <c r="I383" s="84">
        <f>I431+I460+I404</f>
        <v>129.9</v>
      </c>
      <c r="J383" s="71">
        <f>J431+J460+J404</f>
        <v>16.02707</v>
      </c>
      <c r="K383" s="71">
        <f>K431+K460+K404</f>
        <v>65.82772</v>
      </c>
      <c r="L383" s="72"/>
      <c r="M383" s="72"/>
    </row>
    <row r="384" spans="1:13" ht="14.25" customHeight="1">
      <c r="A384" s="13" t="s">
        <v>35</v>
      </c>
      <c r="B384" s="18"/>
      <c r="C384" s="18"/>
      <c r="D384" s="18"/>
      <c r="E384" s="18"/>
      <c r="F384" s="18" t="s">
        <v>57</v>
      </c>
      <c r="G384" s="71">
        <f>H384+I384+J384+K384</f>
        <v>208.92772000000002</v>
      </c>
      <c r="H384" s="71">
        <f>H385+H386</f>
        <v>7.720000000000001</v>
      </c>
      <c r="I384" s="71">
        <f>I385+I386</f>
        <v>44.837</v>
      </c>
      <c r="J384" s="98">
        <f>J385+J386</f>
        <v>45.72</v>
      </c>
      <c r="K384" s="71">
        <f>K385+K386</f>
        <v>110.65072</v>
      </c>
      <c r="L384" s="72"/>
      <c r="M384" s="72"/>
    </row>
    <row r="385" spans="1:13" ht="12.75" customHeight="1">
      <c r="A385" s="13" t="s">
        <v>36</v>
      </c>
      <c r="B385" s="18"/>
      <c r="C385" s="18"/>
      <c r="D385" s="18"/>
      <c r="E385" s="18"/>
      <c r="F385" s="18" t="s">
        <v>58</v>
      </c>
      <c r="G385" s="71">
        <f>H385+I385+J385+K385</f>
        <v>142.85172</v>
      </c>
      <c r="H385" s="83">
        <f>H393+H395+H405+H408+H462+H463+H470+H437</f>
        <v>0</v>
      </c>
      <c r="I385" s="83">
        <f>I393+I395+I405+I408+I462+I463+I470+I437</f>
        <v>0</v>
      </c>
      <c r="J385" s="98">
        <f>J393+J395+J405+J408+J462+J463+J470+J437</f>
        <v>38.72</v>
      </c>
      <c r="K385" s="71">
        <f>K393+K395+K405+K408+K462+K463+K470+K437</f>
        <v>104.13172</v>
      </c>
      <c r="L385" s="72"/>
      <c r="M385" s="72"/>
    </row>
    <row r="386" spans="1:13" ht="15.75" customHeight="1">
      <c r="A386" s="13" t="s">
        <v>37</v>
      </c>
      <c r="B386" s="18"/>
      <c r="C386" s="18"/>
      <c r="D386" s="18"/>
      <c r="E386" s="18"/>
      <c r="F386" s="18" t="s">
        <v>59</v>
      </c>
      <c r="G386" s="97">
        <f>H386+I386+J386+K386</f>
        <v>66.07600000000001</v>
      </c>
      <c r="H386" s="98">
        <f>H390</f>
        <v>7.720000000000001</v>
      </c>
      <c r="I386" s="97">
        <f>I390</f>
        <v>44.837</v>
      </c>
      <c r="J386" s="83">
        <f>J390</f>
        <v>7</v>
      </c>
      <c r="K386" s="97">
        <f>K390</f>
        <v>6.519</v>
      </c>
      <c r="L386" s="72"/>
      <c r="M386" s="72"/>
    </row>
    <row r="387" spans="1:13" ht="11.25" customHeight="1">
      <c r="A387" s="13" t="s">
        <v>25</v>
      </c>
      <c r="B387" s="18"/>
      <c r="C387" s="18"/>
      <c r="D387" s="18"/>
      <c r="E387" s="18"/>
      <c r="F387" s="18"/>
      <c r="G387" s="71"/>
      <c r="H387" s="71"/>
      <c r="I387" s="71"/>
      <c r="J387" s="71"/>
      <c r="K387" s="71"/>
      <c r="L387" s="72"/>
      <c r="M387" s="72"/>
    </row>
    <row r="388" spans="1:13" ht="15.75" customHeight="1" hidden="1">
      <c r="A388" s="13" t="s">
        <v>38</v>
      </c>
      <c r="B388" s="18"/>
      <c r="C388" s="18"/>
      <c r="D388" s="18"/>
      <c r="E388" s="18"/>
      <c r="F388" s="18" t="s">
        <v>59</v>
      </c>
      <c r="G388" s="71"/>
      <c r="H388" s="71"/>
      <c r="I388" s="71"/>
      <c r="J388" s="71"/>
      <c r="K388" s="71"/>
      <c r="L388" s="72"/>
      <c r="M388" s="72"/>
    </row>
    <row r="389" spans="1:13" ht="15.75" customHeight="1" hidden="1">
      <c r="A389" s="13" t="s">
        <v>80</v>
      </c>
      <c r="B389" s="18"/>
      <c r="C389" s="18"/>
      <c r="D389" s="18"/>
      <c r="E389" s="18"/>
      <c r="F389" s="18" t="s">
        <v>59</v>
      </c>
      <c r="G389" s="71"/>
      <c r="H389" s="71"/>
      <c r="I389" s="71"/>
      <c r="J389" s="71"/>
      <c r="K389" s="71"/>
      <c r="L389" s="72"/>
      <c r="M389" s="72"/>
    </row>
    <row r="390" spans="1:13" ht="15.75" customHeight="1">
      <c r="A390" s="13" t="s">
        <v>39</v>
      </c>
      <c r="B390" s="18"/>
      <c r="C390" s="18"/>
      <c r="D390" s="18"/>
      <c r="E390" s="18"/>
      <c r="F390" s="18" t="s">
        <v>59</v>
      </c>
      <c r="G390" s="97">
        <f aca="true" t="shared" si="34" ref="G390:G397">H390+I390+J390+K390</f>
        <v>66.07600000000001</v>
      </c>
      <c r="H390" s="98">
        <f>H468+H406</f>
        <v>7.720000000000001</v>
      </c>
      <c r="I390" s="97">
        <f>I468+I406</f>
        <v>44.837</v>
      </c>
      <c r="J390" s="83">
        <f>J468+J406</f>
        <v>7</v>
      </c>
      <c r="K390" s="97">
        <f>K468+K406</f>
        <v>6.519</v>
      </c>
      <c r="L390" s="72"/>
      <c r="M390" s="72"/>
    </row>
    <row r="391" spans="1:13" ht="24" customHeight="1">
      <c r="A391" s="16" t="s">
        <v>386</v>
      </c>
      <c r="B391" s="17" t="s">
        <v>94</v>
      </c>
      <c r="C391" s="17" t="s">
        <v>84</v>
      </c>
      <c r="D391" s="17" t="s">
        <v>226</v>
      </c>
      <c r="E391" s="17" t="s">
        <v>68</v>
      </c>
      <c r="F391" s="17"/>
      <c r="G391" s="75">
        <f t="shared" si="34"/>
        <v>18613.46508</v>
      </c>
      <c r="H391" s="75">
        <f>H392+H394+H396+H409+H438+H398+H401+H475+H479++H483+H487+H407+H433+H469+H436</f>
        <v>3713.6962399999998</v>
      </c>
      <c r="I391" s="75">
        <f>I392+I394+I396+I409+I438+I398+I401+I475+I479++I483+I487+I407+I433+I469+I436</f>
        <v>5225.36921</v>
      </c>
      <c r="J391" s="75">
        <f>J392+J394+J396+J409+J438+J398+J401+J475+J479++J483+J487+J407+J433+J469+J436</f>
        <v>4683.221390000001</v>
      </c>
      <c r="K391" s="75">
        <f>K392+K394+K396+K409+K438+K398+K401+K475+K479++K483+K487+K407+K433+K469+K436</f>
        <v>4991.17824</v>
      </c>
      <c r="L391" s="72"/>
      <c r="M391" s="72"/>
    </row>
    <row r="392" spans="1:13" ht="23.25" customHeight="1" hidden="1">
      <c r="A392" s="21" t="s">
        <v>263</v>
      </c>
      <c r="B392" s="20" t="s">
        <v>94</v>
      </c>
      <c r="C392" s="20" t="s">
        <v>84</v>
      </c>
      <c r="D392" s="20" t="s">
        <v>227</v>
      </c>
      <c r="E392" s="20" t="s">
        <v>116</v>
      </c>
      <c r="F392" s="20"/>
      <c r="G392" s="79">
        <f t="shared" si="34"/>
        <v>0</v>
      </c>
      <c r="H392" s="79">
        <f>H393</f>
        <v>0</v>
      </c>
      <c r="I392" s="79">
        <f>I393</f>
        <v>0</v>
      </c>
      <c r="J392" s="79">
        <f>J393</f>
        <v>0</v>
      </c>
      <c r="K392" s="79">
        <f>K393</f>
        <v>0</v>
      </c>
      <c r="L392" s="72"/>
      <c r="M392" s="72"/>
    </row>
    <row r="393" spans="1:13" ht="15.75" customHeight="1" hidden="1">
      <c r="A393" s="13" t="s">
        <v>36</v>
      </c>
      <c r="B393" s="18" t="s">
        <v>94</v>
      </c>
      <c r="C393" s="18" t="s">
        <v>84</v>
      </c>
      <c r="D393" s="18" t="s">
        <v>227</v>
      </c>
      <c r="E393" s="18" t="s">
        <v>115</v>
      </c>
      <c r="F393" s="18" t="s">
        <v>58</v>
      </c>
      <c r="G393" s="71">
        <f t="shared" si="34"/>
        <v>0</v>
      </c>
      <c r="H393" s="72">
        <v>0</v>
      </c>
      <c r="I393" s="72">
        <f>30-30</f>
        <v>0</v>
      </c>
      <c r="J393" s="72">
        <v>0</v>
      </c>
      <c r="K393" s="72">
        <f>30-30</f>
        <v>0</v>
      </c>
      <c r="L393" s="72"/>
      <c r="M393" s="72"/>
    </row>
    <row r="394" spans="1:13" ht="15.75" customHeight="1" hidden="1">
      <c r="A394" s="21" t="s">
        <v>228</v>
      </c>
      <c r="B394" s="20" t="s">
        <v>94</v>
      </c>
      <c r="C394" s="20" t="s">
        <v>84</v>
      </c>
      <c r="D394" s="20" t="s">
        <v>229</v>
      </c>
      <c r="E394" s="20" t="s">
        <v>116</v>
      </c>
      <c r="F394" s="20"/>
      <c r="G394" s="85">
        <f t="shared" si="34"/>
        <v>0</v>
      </c>
      <c r="H394" s="85">
        <f>H395</f>
        <v>0</v>
      </c>
      <c r="I394" s="85">
        <f>I395</f>
        <v>0</v>
      </c>
      <c r="J394" s="85">
        <f>J395</f>
        <v>0</v>
      </c>
      <c r="K394" s="85">
        <f>K395</f>
        <v>0</v>
      </c>
      <c r="L394" s="72"/>
      <c r="M394" s="72"/>
    </row>
    <row r="395" spans="1:13" ht="15.75" customHeight="1" hidden="1">
      <c r="A395" s="13" t="s">
        <v>36</v>
      </c>
      <c r="B395" s="18" t="s">
        <v>94</v>
      </c>
      <c r="C395" s="18" t="s">
        <v>84</v>
      </c>
      <c r="D395" s="18" t="s">
        <v>229</v>
      </c>
      <c r="E395" s="18" t="s">
        <v>115</v>
      </c>
      <c r="F395" s="18" t="s">
        <v>58</v>
      </c>
      <c r="G395" s="71">
        <f t="shared" si="34"/>
        <v>0</v>
      </c>
      <c r="H395" s="71">
        <v>0</v>
      </c>
      <c r="I395" s="72">
        <f>20-20</f>
        <v>0</v>
      </c>
      <c r="J395" s="72">
        <v>0</v>
      </c>
      <c r="K395" s="72">
        <f>20-20</f>
        <v>0</v>
      </c>
      <c r="L395" s="72"/>
      <c r="M395" s="72"/>
    </row>
    <row r="396" spans="1:13" ht="16.5" customHeight="1" hidden="1">
      <c r="A396" s="21" t="s">
        <v>231</v>
      </c>
      <c r="B396" s="20" t="s">
        <v>94</v>
      </c>
      <c r="C396" s="20" t="s">
        <v>84</v>
      </c>
      <c r="D396" s="20" t="s">
        <v>230</v>
      </c>
      <c r="E396" s="20" t="s">
        <v>116</v>
      </c>
      <c r="F396" s="20"/>
      <c r="G396" s="79">
        <f t="shared" si="34"/>
        <v>0</v>
      </c>
      <c r="H396" s="79">
        <f>H397</f>
        <v>0</v>
      </c>
      <c r="I396" s="79">
        <f>I397</f>
        <v>0</v>
      </c>
      <c r="J396" s="79">
        <f>J397</f>
        <v>0</v>
      </c>
      <c r="K396" s="79">
        <f>K397</f>
        <v>0</v>
      </c>
      <c r="L396" s="72"/>
      <c r="M396" s="72"/>
    </row>
    <row r="397" spans="1:13" ht="15.75" customHeight="1" hidden="1">
      <c r="A397" s="13" t="s">
        <v>29</v>
      </c>
      <c r="B397" s="18" t="s">
        <v>94</v>
      </c>
      <c r="C397" s="18" t="s">
        <v>84</v>
      </c>
      <c r="D397" s="18" t="s">
        <v>230</v>
      </c>
      <c r="E397" s="18" t="s">
        <v>115</v>
      </c>
      <c r="F397" s="18" t="s">
        <v>53</v>
      </c>
      <c r="G397" s="71">
        <f t="shared" si="34"/>
        <v>0</v>
      </c>
      <c r="H397" s="71">
        <v>0</v>
      </c>
      <c r="I397" s="71">
        <v>0</v>
      </c>
      <c r="J397" s="71">
        <v>0</v>
      </c>
      <c r="K397" s="71">
        <v>0</v>
      </c>
      <c r="L397" s="72"/>
      <c r="M397" s="72"/>
    </row>
    <row r="398" spans="1:13" ht="15.75" customHeight="1" hidden="1">
      <c r="A398" s="21" t="s">
        <v>290</v>
      </c>
      <c r="B398" s="20" t="s">
        <v>94</v>
      </c>
      <c r="C398" s="20" t="s">
        <v>84</v>
      </c>
      <c r="D398" s="20" t="s">
        <v>289</v>
      </c>
      <c r="E398" s="20" t="s">
        <v>116</v>
      </c>
      <c r="F398" s="20"/>
      <c r="G398" s="79">
        <f aca="true" t="shared" si="35" ref="G398:G406">H398+I398+J398+K398</f>
        <v>0</v>
      </c>
      <c r="H398" s="79">
        <f>H399+H400</f>
        <v>0</v>
      </c>
      <c r="I398" s="79">
        <f>I399+I400</f>
        <v>0</v>
      </c>
      <c r="J398" s="79">
        <f>J399+J400</f>
        <v>0</v>
      </c>
      <c r="K398" s="79">
        <f>K399+K400</f>
        <v>0</v>
      </c>
      <c r="L398" s="72"/>
      <c r="M398" s="72"/>
    </row>
    <row r="399" spans="1:13" ht="15.75" customHeight="1" hidden="1">
      <c r="A399" s="13" t="s">
        <v>29</v>
      </c>
      <c r="B399" s="18" t="s">
        <v>94</v>
      </c>
      <c r="C399" s="18" t="s">
        <v>84</v>
      </c>
      <c r="D399" s="18" t="s">
        <v>289</v>
      </c>
      <c r="E399" s="18" t="s">
        <v>115</v>
      </c>
      <c r="F399" s="18" t="s">
        <v>53</v>
      </c>
      <c r="G399" s="71">
        <f t="shared" si="35"/>
        <v>0</v>
      </c>
      <c r="H399" s="71">
        <v>0</v>
      </c>
      <c r="I399" s="71">
        <f>60-60</f>
        <v>0</v>
      </c>
      <c r="J399" s="71">
        <v>0</v>
      </c>
      <c r="K399" s="71">
        <f>60-60</f>
        <v>0</v>
      </c>
      <c r="L399" s="72"/>
      <c r="M399" s="72"/>
    </row>
    <row r="400" spans="1:13" ht="15.75" customHeight="1" hidden="1">
      <c r="A400" s="13" t="s">
        <v>29</v>
      </c>
      <c r="B400" s="18" t="s">
        <v>94</v>
      </c>
      <c r="C400" s="18" t="s">
        <v>84</v>
      </c>
      <c r="D400" s="18" t="s">
        <v>289</v>
      </c>
      <c r="E400" s="18" t="s">
        <v>115</v>
      </c>
      <c r="F400" s="18" t="s">
        <v>54</v>
      </c>
      <c r="G400" s="71">
        <f t="shared" si="35"/>
        <v>0</v>
      </c>
      <c r="H400" s="71">
        <v>0</v>
      </c>
      <c r="I400" s="71">
        <v>0</v>
      </c>
      <c r="J400" s="71">
        <v>0</v>
      </c>
      <c r="K400" s="71">
        <v>0</v>
      </c>
      <c r="L400" s="72"/>
      <c r="M400" s="72"/>
    </row>
    <row r="401" spans="1:13" ht="29.25" customHeight="1">
      <c r="A401" s="21" t="s">
        <v>349</v>
      </c>
      <c r="B401" s="20" t="s">
        <v>94</v>
      </c>
      <c r="C401" s="20" t="s">
        <v>84</v>
      </c>
      <c r="D401" s="20" t="s">
        <v>350</v>
      </c>
      <c r="E401" s="20" t="s">
        <v>116</v>
      </c>
      <c r="F401" s="20"/>
      <c r="G401" s="81">
        <f>H401+I401+J401+K401</f>
        <v>220</v>
      </c>
      <c r="H401" s="79">
        <f>H404+H405+H406+H402+H403</f>
        <v>43.31456</v>
      </c>
      <c r="I401" s="81">
        <f>I404+I405+I406+I402+I403</f>
        <v>70</v>
      </c>
      <c r="J401" s="81">
        <f>J404+J405+J406+J402+J403</f>
        <v>23</v>
      </c>
      <c r="K401" s="79">
        <f>K404+K405+K406+K402+K403</f>
        <v>83.68544</v>
      </c>
      <c r="L401" s="72"/>
      <c r="M401" s="72"/>
    </row>
    <row r="402" spans="1:13" ht="18.75" customHeight="1">
      <c r="A402" s="14" t="s">
        <v>23</v>
      </c>
      <c r="B402" s="18" t="s">
        <v>94</v>
      </c>
      <c r="C402" s="18" t="s">
        <v>84</v>
      </c>
      <c r="D402" s="18" t="s">
        <v>350</v>
      </c>
      <c r="E402" s="18" t="s">
        <v>115</v>
      </c>
      <c r="F402" s="18" t="s">
        <v>51</v>
      </c>
      <c r="G402" s="83">
        <f>H402+I402+J402+K402</f>
        <v>9</v>
      </c>
      <c r="H402" s="83">
        <v>0</v>
      </c>
      <c r="I402" s="83">
        <v>9</v>
      </c>
      <c r="J402" s="83">
        <v>0</v>
      </c>
      <c r="K402" s="83">
        <v>0</v>
      </c>
      <c r="L402" s="72"/>
      <c r="M402" s="72"/>
    </row>
    <row r="403" spans="1:13" ht="18.75" customHeight="1">
      <c r="A403" s="14" t="s">
        <v>32</v>
      </c>
      <c r="B403" s="18" t="s">
        <v>94</v>
      </c>
      <c r="C403" s="18" t="s">
        <v>84</v>
      </c>
      <c r="D403" s="18" t="s">
        <v>350</v>
      </c>
      <c r="E403" s="18" t="s">
        <v>115</v>
      </c>
      <c r="F403" s="18" t="s">
        <v>54</v>
      </c>
      <c r="G403" s="83">
        <f>H403+I403+J403+K403</f>
        <v>126</v>
      </c>
      <c r="H403" s="83">
        <v>0</v>
      </c>
      <c r="I403" s="83">
        <v>61</v>
      </c>
      <c r="J403" s="83">
        <v>0</v>
      </c>
      <c r="K403" s="83">
        <v>65</v>
      </c>
      <c r="L403" s="72"/>
      <c r="M403" s="72"/>
    </row>
    <row r="404" spans="1:13" ht="15.75" customHeight="1">
      <c r="A404" s="14" t="s">
        <v>33</v>
      </c>
      <c r="B404" s="18" t="s">
        <v>94</v>
      </c>
      <c r="C404" s="18" t="s">
        <v>84</v>
      </c>
      <c r="D404" s="18" t="s">
        <v>350</v>
      </c>
      <c r="E404" s="18" t="s">
        <v>115</v>
      </c>
      <c r="F404" s="18" t="s">
        <v>55</v>
      </c>
      <c r="G404" s="71">
        <f t="shared" si="35"/>
        <v>57.65728</v>
      </c>
      <c r="H404" s="71">
        <f>45.25-4.93544</f>
        <v>40.31456</v>
      </c>
      <c r="I404" s="83">
        <v>0</v>
      </c>
      <c r="J404" s="83">
        <f>9+11-4</f>
        <v>16</v>
      </c>
      <c r="K404" s="71">
        <f>96.5-7.81456-9+4-65-17.34272</f>
        <v>1.34272</v>
      </c>
      <c r="L404" s="72"/>
      <c r="M404" s="72"/>
    </row>
    <row r="405" spans="1:13" ht="17.25" customHeight="1">
      <c r="A405" s="13" t="s">
        <v>36</v>
      </c>
      <c r="B405" s="18" t="s">
        <v>94</v>
      </c>
      <c r="C405" s="18" t="s">
        <v>84</v>
      </c>
      <c r="D405" s="18" t="s">
        <v>350</v>
      </c>
      <c r="E405" s="18" t="s">
        <v>115</v>
      </c>
      <c r="F405" s="18" t="s">
        <v>58</v>
      </c>
      <c r="G405" s="71">
        <f t="shared" si="35"/>
        <v>17.34272</v>
      </c>
      <c r="H405" s="83">
        <v>0</v>
      </c>
      <c r="I405" s="83">
        <v>0</v>
      </c>
      <c r="J405" s="83">
        <v>0</v>
      </c>
      <c r="K405" s="71">
        <v>17.34272</v>
      </c>
      <c r="L405" s="72"/>
      <c r="M405" s="72"/>
    </row>
    <row r="406" spans="1:13" ht="17.25" customHeight="1">
      <c r="A406" s="13" t="s">
        <v>39</v>
      </c>
      <c r="B406" s="18" t="s">
        <v>94</v>
      </c>
      <c r="C406" s="18" t="s">
        <v>84</v>
      </c>
      <c r="D406" s="18" t="s">
        <v>350</v>
      </c>
      <c r="E406" s="18" t="s">
        <v>115</v>
      </c>
      <c r="F406" s="18" t="s">
        <v>59</v>
      </c>
      <c r="G406" s="83">
        <f t="shared" si="35"/>
        <v>10</v>
      </c>
      <c r="H406" s="83">
        <v>3</v>
      </c>
      <c r="I406" s="83">
        <v>0</v>
      </c>
      <c r="J406" s="83">
        <v>7</v>
      </c>
      <c r="K406" s="83">
        <v>0</v>
      </c>
      <c r="L406" s="72"/>
      <c r="M406" s="72"/>
    </row>
    <row r="407" spans="1:13" ht="28.5" customHeight="1" hidden="1">
      <c r="A407" s="21" t="s">
        <v>407</v>
      </c>
      <c r="B407" s="18" t="s">
        <v>94</v>
      </c>
      <c r="C407" s="18" t="s">
        <v>84</v>
      </c>
      <c r="D407" s="18" t="s">
        <v>408</v>
      </c>
      <c r="E407" s="18" t="s">
        <v>116</v>
      </c>
      <c r="F407" s="18"/>
      <c r="G407" s="79">
        <f>H407+I407+J407+K407</f>
        <v>0</v>
      </c>
      <c r="H407" s="79">
        <f>H408</f>
        <v>0</v>
      </c>
      <c r="I407" s="79">
        <f>I408</f>
        <v>0</v>
      </c>
      <c r="J407" s="79">
        <f>J408</f>
        <v>0</v>
      </c>
      <c r="K407" s="79">
        <f>K408</f>
        <v>0</v>
      </c>
      <c r="L407" s="72"/>
      <c r="M407" s="72"/>
    </row>
    <row r="408" spans="1:13" ht="17.25" customHeight="1" hidden="1">
      <c r="A408" s="13" t="s">
        <v>36</v>
      </c>
      <c r="B408" s="18" t="s">
        <v>94</v>
      </c>
      <c r="C408" s="18" t="s">
        <v>84</v>
      </c>
      <c r="D408" s="18" t="s">
        <v>408</v>
      </c>
      <c r="E408" s="18" t="s">
        <v>115</v>
      </c>
      <c r="F408" s="18" t="s">
        <v>58</v>
      </c>
      <c r="G408" s="71">
        <f>H408+I408+J408+K408</f>
        <v>0</v>
      </c>
      <c r="H408" s="71">
        <f>300-300</f>
        <v>0</v>
      </c>
      <c r="I408" s="71">
        <f>300-300</f>
        <v>0</v>
      </c>
      <c r="J408" s="71">
        <v>0</v>
      </c>
      <c r="K408" s="71">
        <v>0</v>
      </c>
      <c r="L408" s="72"/>
      <c r="M408" s="72"/>
    </row>
    <row r="409" spans="1:13" ht="49.5" customHeight="1">
      <c r="A409" s="21" t="s">
        <v>233</v>
      </c>
      <c r="B409" s="20" t="s">
        <v>94</v>
      </c>
      <c r="C409" s="20" t="s">
        <v>84</v>
      </c>
      <c r="D409" s="20" t="s">
        <v>232</v>
      </c>
      <c r="E409" s="20" t="s">
        <v>155</v>
      </c>
      <c r="F409" s="20"/>
      <c r="G409" s="79">
        <f>H409+I409+J409+K409</f>
        <v>10561.96484</v>
      </c>
      <c r="H409" s="79">
        <f>H410+H414+H430+H431</f>
        <v>2089.68369</v>
      </c>
      <c r="I409" s="79">
        <f>I410+I414+I430+I431</f>
        <v>3229.97225</v>
      </c>
      <c r="J409" s="79">
        <f>J410+J414+J430+J431</f>
        <v>2371.8785700000003</v>
      </c>
      <c r="K409" s="79">
        <f>K410+K414+K430+K431</f>
        <v>2870.43033</v>
      </c>
      <c r="L409" s="70"/>
      <c r="M409" s="70"/>
    </row>
    <row r="410" spans="1:13" ht="14.25" customHeight="1">
      <c r="A410" s="13" t="s">
        <v>17</v>
      </c>
      <c r="B410" s="18" t="s">
        <v>94</v>
      </c>
      <c r="C410" s="18" t="s">
        <v>84</v>
      </c>
      <c r="D410" s="18" t="s">
        <v>232</v>
      </c>
      <c r="E410" s="18" t="s">
        <v>127</v>
      </c>
      <c r="F410" s="18" t="s">
        <v>129</v>
      </c>
      <c r="G410" s="71">
        <f>G411+G412+G413</f>
        <v>8730.68261</v>
      </c>
      <c r="H410" s="71">
        <f>H411+H412+H413</f>
        <v>1549.09501</v>
      </c>
      <c r="I410" s="71">
        <f>I411+I412+I413</f>
        <v>2767.22933</v>
      </c>
      <c r="J410" s="71">
        <f>J411+J412+J413</f>
        <v>2172.37485</v>
      </c>
      <c r="K410" s="71">
        <f>K411+K413</f>
        <v>2241.98342</v>
      </c>
      <c r="L410" s="72"/>
      <c r="M410" s="72"/>
    </row>
    <row r="411" spans="1:13" ht="15.75" customHeight="1">
      <c r="A411" s="14" t="s">
        <v>18</v>
      </c>
      <c r="B411" s="18" t="s">
        <v>94</v>
      </c>
      <c r="C411" s="18" t="s">
        <v>84</v>
      </c>
      <c r="D411" s="18" t="s">
        <v>232</v>
      </c>
      <c r="E411" s="18" t="s">
        <v>110</v>
      </c>
      <c r="F411" s="18" t="s">
        <v>130</v>
      </c>
      <c r="G411" s="94">
        <f>H411+I411+J411+K411</f>
        <v>6715.237300000001</v>
      </c>
      <c r="H411" s="71">
        <f>1367.63-151.50294</f>
        <v>1216.12706</v>
      </c>
      <c r="I411" s="71">
        <f>1493+151.50294+465.23205</f>
        <v>2109.73499</v>
      </c>
      <c r="J411" s="71">
        <f>1668.88077-8.256</f>
        <v>1660.62477</v>
      </c>
      <c r="K411" s="71">
        <f>1101.05718+8.256+131.71187+562.10817-74.38274</f>
        <v>1728.7504800000002</v>
      </c>
      <c r="L411" s="72"/>
      <c r="M411" s="72"/>
    </row>
    <row r="412" spans="1:13" ht="15.75" customHeight="1" hidden="1">
      <c r="A412" s="14" t="s">
        <v>19</v>
      </c>
      <c r="B412" s="18" t="s">
        <v>94</v>
      </c>
      <c r="C412" s="18" t="s">
        <v>84</v>
      </c>
      <c r="D412" s="18" t="s">
        <v>232</v>
      </c>
      <c r="E412" s="18" t="s">
        <v>110</v>
      </c>
      <c r="F412" s="18" t="s">
        <v>131</v>
      </c>
      <c r="G412" s="71"/>
      <c r="H412" s="71"/>
      <c r="I412" s="71"/>
      <c r="J412" s="71"/>
      <c r="K412" s="71"/>
      <c r="L412" s="72"/>
      <c r="M412" s="72"/>
    </row>
    <row r="413" spans="1:13" ht="15.75" customHeight="1">
      <c r="A413" s="14" t="s">
        <v>20</v>
      </c>
      <c r="B413" s="18" t="s">
        <v>94</v>
      </c>
      <c r="C413" s="18" t="s">
        <v>84</v>
      </c>
      <c r="D413" s="18" t="s">
        <v>232</v>
      </c>
      <c r="E413" s="18" t="s">
        <v>110</v>
      </c>
      <c r="F413" s="18" t="s">
        <v>132</v>
      </c>
      <c r="G413" s="71">
        <f>H413+I413+J413+K413</f>
        <v>2015.44531</v>
      </c>
      <c r="H413" s="71">
        <f>337.87-4.90205</f>
        <v>332.96795000000003</v>
      </c>
      <c r="I413" s="71">
        <f>450.9+4.90205+201.69229</f>
        <v>657.49434</v>
      </c>
      <c r="J413" s="71">
        <f>503.49408+8.256</f>
        <v>511.75008</v>
      </c>
      <c r="K413" s="71">
        <f>346.97363-8.256+28.93241+169.75667-24.17377</f>
        <v>513.23294</v>
      </c>
      <c r="L413" s="72"/>
      <c r="M413" s="72"/>
    </row>
    <row r="414" spans="1:13" ht="15.75" customHeight="1">
      <c r="A414" s="14" t="s">
        <v>21</v>
      </c>
      <c r="B414" s="18" t="s">
        <v>94</v>
      </c>
      <c r="C414" s="18" t="s">
        <v>84</v>
      </c>
      <c r="D414" s="18" t="s">
        <v>232</v>
      </c>
      <c r="E414" s="18" t="s">
        <v>110</v>
      </c>
      <c r="F414" s="18" t="s">
        <v>133</v>
      </c>
      <c r="G414" s="71">
        <f>G415+G417+G422+G429</f>
        <v>1602.6741599999998</v>
      </c>
      <c r="H414" s="71">
        <f>H415+H417+H422+H429</f>
        <v>483.4456800000001</v>
      </c>
      <c r="I414" s="71">
        <f>I415+I417+I422+I429</f>
        <v>348.21492</v>
      </c>
      <c r="J414" s="71">
        <f>J415+J417+J422+J429</f>
        <v>199.47664999999998</v>
      </c>
      <c r="K414" s="71">
        <f>K415+K417+K422+K429</f>
        <v>571.53691</v>
      </c>
      <c r="L414" s="72"/>
      <c r="M414" s="72"/>
    </row>
    <row r="415" spans="1:13" ht="15.75" customHeight="1">
      <c r="A415" s="14" t="s">
        <v>22</v>
      </c>
      <c r="B415" s="18" t="s">
        <v>94</v>
      </c>
      <c r="C415" s="18" t="s">
        <v>84</v>
      </c>
      <c r="D415" s="18" t="s">
        <v>232</v>
      </c>
      <c r="E415" s="18" t="s">
        <v>110</v>
      </c>
      <c r="F415" s="18" t="s">
        <v>134</v>
      </c>
      <c r="G415" s="71">
        <f>H415+I415+J415+K415</f>
        <v>17.541649999999997</v>
      </c>
      <c r="H415" s="71">
        <f>14.48-10.83835</f>
        <v>3.6416500000000003</v>
      </c>
      <c r="I415" s="84">
        <f>17.11+10.83835-24.34835</f>
        <v>3.599999999999998</v>
      </c>
      <c r="J415" s="71">
        <f>17.11+24.34835-37.15835</f>
        <v>4.299999999999997</v>
      </c>
      <c r="K415" s="71">
        <f>17.1+37.15835-26.6556-21.60275</f>
        <v>6</v>
      </c>
      <c r="L415" s="72"/>
      <c r="M415" s="72"/>
    </row>
    <row r="416" spans="1:13" ht="15.75" customHeight="1" hidden="1">
      <c r="A416" s="14" t="s">
        <v>23</v>
      </c>
      <c r="B416" s="18" t="s">
        <v>94</v>
      </c>
      <c r="C416" s="18" t="s">
        <v>84</v>
      </c>
      <c r="D416" s="18" t="s">
        <v>232</v>
      </c>
      <c r="E416" s="18" t="s">
        <v>110</v>
      </c>
      <c r="F416" s="18" t="s">
        <v>135</v>
      </c>
      <c r="G416" s="71"/>
      <c r="H416" s="71"/>
      <c r="I416" s="71"/>
      <c r="J416" s="71"/>
      <c r="K416" s="71"/>
      <c r="L416" s="72"/>
      <c r="M416" s="72"/>
    </row>
    <row r="417" spans="1:13" ht="15.75" customHeight="1">
      <c r="A417" s="14" t="s">
        <v>24</v>
      </c>
      <c r="B417" s="18" t="s">
        <v>94</v>
      </c>
      <c r="C417" s="18" t="s">
        <v>84</v>
      </c>
      <c r="D417" s="18" t="s">
        <v>232</v>
      </c>
      <c r="E417" s="18" t="s">
        <v>110</v>
      </c>
      <c r="F417" s="18" t="s">
        <v>136</v>
      </c>
      <c r="G417" s="71">
        <f>G419+G420+G421</f>
        <v>1269.77691</v>
      </c>
      <c r="H417" s="71">
        <f>H419+H420+H421</f>
        <v>448.91143000000005</v>
      </c>
      <c r="I417" s="71">
        <f>I419+I420+I421</f>
        <v>298.27602</v>
      </c>
      <c r="J417" s="71">
        <f>J419+J420+J421</f>
        <v>144.83775</v>
      </c>
      <c r="K417" s="71">
        <f>K419+K420+K421</f>
        <v>377.75171</v>
      </c>
      <c r="L417" s="72"/>
      <c r="M417" s="72"/>
    </row>
    <row r="418" spans="1:13" ht="11.25" customHeight="1">
      <c r="A418" s="14" t="s">
        <v>25</v>
      </c>
      <c r="B418" s="18" t="s">
        <v>94</v>
      </c>
      <c r="C418" s="18" t="s">
        <v>84</v>
      </c>
      <c r="D418" s="18" t="s">
        <v>232</v>
      </c>
      <c r="E418" s="18" t="s">
        <v>110</v>
      </c>
      <c r="F418" s="18"/>
      <c r="G418" s="71"/>
      <c r="H418" s="71"/>
      <c r="I418" s="71"/>
      <c r="J418" s="71"/>
      <c r="K418" s="71"/>
      <c r="L418" s="72"/>
      <c r="M418" s="72"/>
    </row>
    <row r="419" spans="1:13" ht="15.75" customHeight="1">
      <c r="A419" s="14" t="s">
        <v>26</v>
      </c>
      <c r="B419" s="18" t="s">
        <v>94</v>
      </c>
      <c r="C419" s="18" t="s">
        <v>84</v>
      </c>
      <c r="D419" s="18" t="s">
        <v>232</v>
      </c>
      <c r="E419" s="18" t="s">
        <v>110</v>
      </c>
      <c r="F419" s="18" t="s">
        <v>136</v>
      </c>
      <c r="G419" s="71">
        <f>H419+I419+J419+K419</f>
        <v>920.6148499999999</v>
      </c>
      <c r="H419" s="71">
        <f>366-38.96288</f>
        <v>327.03712</v>
      </c>
      <c r="I419" s="71">
        <f>220+38.96288-40.93677</f>
        <v>218.02611</v>
      </c>
      <c r="J419" s="71">
        <f>40.93677+59.05545</f>
        <v>99.99222</v>
      </c>
      <c r="K419" s="94">
        <f>328.8-59.05545+5.81485</f>
        <v>275.5594</v>
      </c>
      <c r="L419" s="72"/>
      <c r="M419" s="72"/>
    </row>
    <row r="420" spans="1:13" ht="15.75" customHeight="1">
      <c r="A420" s="14" t="s">
        <v>27</v>
      </c>
      <c r="B420" s="18" t="s">
        <v>94</v>
      </c>
      <c r="C420" s="18" t="s">
        <v>84</v>
      </c>
      <c r="D420" s="18" t="s">
        <v>232</v>
      </c>
      <c r="E420" s="18" t="s">
        <v>110</v>
      </c>
      <c r="F420" s="18" t="s">
        <v>136</v>
      </c>
      <c r="G420" s="71">
        <f>H420+I420+J420+K420</f>
        <v>338.75818000000004</v>
      </c>
      <c r="H420" s="71">
        <f>109+10.89415</f>
        <v>119.89415</v>
      </c>
      <c r="I420" s="71">
        <f>43-10.89415+4.19466+23.65828+18.078</f>
        <v>78.03679000000001</v>
      </c>
      <c r="J420" s="71">
        <v>42.0498</v>
      </c>
      <c r="K420" s="71">
        <f>89.21926+9.55818</f>
        <v>98.77744000000001</v>
      </c>
      <c r="L420" s="72"/>
      <c r="M420" s="72"/>
    </row>
    <row r="421" spans="1:13" ht="15.75" customHeight="1">
      <c r="A421" s="14" t="s">
        <v>28</v>
      </c>
      <c r="B421" s="18" t="s">
        <v>94</v>
      </c>
      <c r="C421" s="18" t="s">
        <v>84</v>
      </c>
      <c r="D421" s="18" t="s">
        <v>232</v>
      </c>
      <c r="E421" s="18" t="s">
        <v>110</v>
      </c>
      <c r="F421" s="18" t="s">
        <v>136</v>
      </c>
      <c r="G421" s="71">
        <f>H421+I421+J421+K421</f>
        <v>10.403880000000003</v>
      </c>
      <c r="H421" s="71">
        <f>13-11.01984</f>
        <v>1.9801599999999997</v>
      </c>
      <c r="I421" s="71">
        <f>15+11.01984-23.80672</f>
        <v>2.2131200000000035</v>
      </c>
      <c r="J421" s="71">
        <f>15+23.80672-36.01099</f>
        <v>2.795729999999999</v>
      </c>
      <c r="K421" s="71">
        <f>18.1+36.01099-5.81485-44.88127</f>
        <v>3.4148700000000005</v>
      </c>
      <c r="L421" s="72"/>
      <c r="M421" s="72"/>
    </row>
    <row r="422" spans="1:13" ht="15.75" customHeight="1">
      <c r="A422" s="14" t="s">
        <v>29</v>
      </c>
      <c r="B422" s="18" t="s">
        <v>94</v>
      </c>
      <c r="C422" s="18" t="s">
        <v>84</v>
      </c>
      <c r="D422" s="18" t="s">
        <v>232</v>
      </c>
      <c r="E422" s="18" t="s">
        <v>110</v>
      </c>
      <c r="F422" s="18" t="s">
        <v>111</v>
      </c>
      <c r="G422" s="94">
        <f>G423+G424+G425+G426+G427+G428</f>
        <v>121.7556</v>
      </c>
      <c r="H422" s="94">
        <f>H424</f>
        <v>20.2926</v>
      </c>
      <c r="I422" s="94">
        <f>I424</f>
        <v>30.4389</v>
      </c>
      <c r="J422" s="94">
        <f>J424</f>
        <v>32.438900000000004</v>
      </c>
      <c r="K422" s="94">
        <f>K424</f>
        <v>38.5852</v>
      </c>
      <c r="L422" s="72"/>
      <c r="M422" s="72"/>
    </row>
    <row r="423" spans="1:13" ht="13.5" customHeight="1">
      <c r="A423" s="14" t="s">
        <v>25</v>
      </c>
      <c r="B423" s="18" t="s">
        <v>94</v>
      </c>
      <c r="C423" s="18" t="s">
        <v>84</v>
      </c>
      <c r="D423" s="18" t="s">
        <v>232</v>
      </c>
      <c r="E423" s="18" t="s">
        <v>110</v>
      </c>
      <c r="F423" s="18" t="s">
        <v>111</v>
      </c>
      <c r="G423" s="71"/>
      <c r="H423" s="71"/>
      <c r="I423" s="71"/>
      <c r="J423" s="71"/>
      <c r="K423" s="71"/>
      <c r="L423" s="72"/>
      <c r="M423" s="72"/>
    </row>
    <row r="424" spans="1:13" ht="15.75" customHeight="1">
      <c r="A424" s="14" t="s">
        <v>30</v>
      </c>
      <c r="B424" s="18" t="s">
        <v>94</v>
      </c>
      <c r="C424" s="18" t="s">
        <v>84</v>
      </c>
      <c r="D424" s="18" t="s">
        <v>232</v>
      </c>
      <c r="E424" s="18" t="s">
        <v>110</v>
      </c>
      <c r="F424" s="18" t="s">
        <v>111</v>
      </c>
      <c r="G424" s="94">
        <f>H424+I424+J424+K424</f>
        <v>121.7556</v>
      </c>
      <c r="H424" s="94">
        <f>26.5-6.2074</f>
        <v>20.2926</v>
      </c>
      <c r="I424" s="94">
        <f>26.5+6.2074-2.2685</f>
        <v>30.4389</v>
      </c>
      <c r="J424" s="94">
        <f>2.2685+7.8778+12.1463+10.1463</f>
        <v>32.438900000000004</v>
      </c>
      <c r="K424" s="94">
        <f>53.2-7.8778-12.1463-10.1463+15.5556</f>
        <v>38.5852</v>
      </c>
      <c r="L424" s="72"/>
      <c r="M424" s="72"/>
    </row>
    <row r="425" spans="1:13" ht="15.75" customHeight="1" hidden="1">
      <c r="A425" s="14" t="s">
        <v>76</v>
      </c>
      <c r="B425" s="18" t="s">
        <v>94</v>
      </c>
      <c r="C425" s="18" t="s">
        <v>84</v>
      </c>
      <c r="D425" s="18" t="s">
        <v>232</v>
      </c>
      <c r="E425" s="18" t="s">
        <v>110</v>
      </c>
      <c r="F425" s="18" t="s">
        <v>111</v>
      </c>
      <c r="G425" s="71"/>
      <c r="H425" s="71"/>
      <c r="I425" s="71"/>
      <c r="J425" s="71"/>
      <c r="K425" s="71"/>
      <c r="L425" s="72"/>
      <c r="M425" s="72"/>
    </row>
    <row r="426" spans="1:13" ht="15.75" customHeight="1" hidden="1">
      <c r="A426" s="14" t="s">
        <v>31</v>
      </c>
      <c r="B426" s="18" t="s">
        <v>94</v>
      </c>
      <c r="C426" s="18" t="s">
        <v>84</v>
      </c>
      <c r="D426" s="18" t="s">
        <v>232</v>
      </c>
      <c r="E426" s="18" t="s">
        <v>110</v>
      </c>
      <c r="F426" s="18" t="s">
        <v>111</v>
      </c>
      <c r="G426" s="71">
        <f>H426+I426+J426+K426</f>
        <v>0</v>
      </c>
      <c r="H426" s="71"/>
      <c r="I426" s="71"/>
      <c r="J426" s="71"/>
      <c r="K426" s="71"/>
      <c r="L426" s="72"/>
      <c r="M426" s="72"/>
    </row>
    <row r="427" spans="1:13" ht="15.75" customHeight="1" hidden="1">
      <c r="A427" s="14" t="s">
        <v>77</v>
      </c>
      <c r="B427" s="18" t="s">
        <v>94</v>
      </c>
      <c r="C427" s="18" t="s">
        <v>84</v>
      </c>
      <c r="D427" s="18" t="s">
        <v>232</v>
      </c>
      <c r="E427" s="18" t="s">
        <v>110</v>
      </c>
      <c r="F427" s="18" t="s">
        <v>111</v>
      </c>
      <c r="G427" s="71"/>
      <c r="H427" s="71"/>
      <c r="I427" s="71"/>
      <c r="J427" s="71"/>
      <c r="K427" s="71"/>
      <c r="L427" s="72"/>
      <c r="M427" s="72"/>
    </row>
    <row r="428" spans="1:13" ht="15.75" customHeight="1" hidden="1">
      <c r="A428" s="14" t="s">
        <v>78</v>
      </c>
      <c r="B428" s="18" t="s">
        <v>94</v>
      </c>
      <c r="C428" s="18" t="s">
        <v>84</v>
      </c>
      <c r="D428" s="18" t="s">
        <v>232</v>
      </c>
      <c r="E428" s="18" t="s">
        <v>110</v>
      </c>
      <c r="F428" s="18" t="s">
        <v>111</v>
      </c>
      <c r="G428" s="71"/>
      <c r="H428" s="71"/>
      <c r="I428" s="71"/>
      <c r="J428" s="71"/>
      <c r="K428" s="71"/>
      <c r="L428" s="72"/>
      <c r="M428" s="72"/>
    </row>
    <row r="429" spans="1:13" ht="15.75" customHeight="1">
      <c r="A429" s="14" t="s">
        <v>32</v>
      </c>
      <c r="B429" s="18" t="s">
        <v>94</v>
      </c>
      <c r="C429" s="18" t="s">
        <v>84</v>
      </c>
      <c r="D429" s="18" t="s">
        <v>232</v>
      </c>
      <c r="E429" s="18" t="s">
        <v>110</v>
      </c>
      <c r="F429" s="18" t="s">
        <v>112</v>
      </c>
      <c r="G429" s="84">
        <f>H429+I429+J429+K429</f>
        <v>193.6</v>
      </c>
      <c r="H429" s="84">
        <f>13.12-2.52</f>
        <v>10.6</v>
      </c>
      <c r="I429" s="84">
        <f>13.12+2.52+28-27.74</f>
        <v>15.900000000000002</v>
      </c>
      <c r="J429" s="84">
        <f>27.74-9.84</f>
        <v>17.9</v>
      </c>
      <c r="K429" s="84">
        <f>26.26+9.84+102+11.1</f>
        <v>149.2</v>
      </c>
      <c r="L429" s="72"/>
      <c r="M429" s="72"/>
    </row>
    <row r="430" spans="1:13" ht="15.75" customHeight="1" hidden="1">
      <c r="A430" s="14" t="s">
        <v>34</v>
      </c>
      <c r="B430" s="18" t="s">
        <v>94</v>
      </c>
      <c r="C430" s="18" t="s">
        <v>84</v>
      </c>
      <c r="D430" s="18" t="s">
        <v>232</v>
      </c>
      <c r="E430" s="18" t="s">
        <v>110</v>
      </c>
      <c r="F430" s="18" t="s">
        <v>137</v>
      </c>
      <c r="G430" s="71"/>
      <c r="H430" s="71"/>
      <c r="I430" s="71"/>
      <c r="J430" s="71"/>
      <c r="K430" s="71"/>
      <c r="L430" s="72"/>
      <c r="M430" s="72"/>
    </row>
    <row r="431" spans="1:13" ht="15.75" customHeight="1">
      <c r="A431" s="14" t="s">
        <v>33</v>
      </c>
      <c r="B431" s="18" t="s">
        <v>94</v>
      </c>
      <c r="C431" s="18" t="s">
        <v>84</v>
      </c>
      <c r="D431" s="18" t="s">
        <v>232</v>
      </c>
      <c r="E431" s="18" t="s">
        <v>110</v>
      </c>
      <c r="F431" s="18" t="s">
        <v>138</v>
      </c>
      <c r="G431" s="71">
        <f aca="true" t="shared" si="36" ref="G431:G440">H431+I431+J431+K431</f>
        <v>228.60807</v>
      </c>
      <c r="H431" s="97">
        <f>58-0.857</f>
        <v>57.143</v>
      </c>
      <c r="I431" s="97">
        <f>57.264+57.264</f>
        <v>114.528</v>
      </c>
      <c r="J431" s="71">
        <f>1.593-1.56593</f>
        <v>0.027069999999999927</v>
      </c>
      <c r="K431" s="98">
        <f>117.77-57.264+1.56593-5.16193</f>
        <v>56.91</v>
      </c>
      <c r="L431" s="72"/>
      <c r="M431" s="72"/>
    </row>
    <row r="432" spans="1:19" ht="67.5" customHeight="1">
      <c r="A432" s="45" t="s">
        <v>413</v>
      </c>
      <c r="B432" s="44" t="s">
        <v>94</v>
      </c>
      <c r="C432" s="44" t="s">
        <v>84</v>
      </c>
      <c r="D432" s="44" t="s">
        <v>414</v>
      </c>
      <c r="E432" s="44" t="s">
        <v>155</v>
      </c>
      <c r="F432" s="50"/>
      <c r="G432" s="82">
        <f t="shared" si="36"/>
        <v>475.1</v>
      </c>
      <c r="H432" s="81">
        <f>H433</f>
        <v>0</v>
      </c>
      <c r="I432" s="80">
        <f>I433</f>
        <v>59.370000000000005</v>
      </c>
      <c r="J432" s="79">
        <f>J433</f>
        <v>178.09544</v>
      </c>
      <c r="K432" s="79">
        <f>K433</f>
        <v>237.63456</v>
      </c>
      <c r="L432" s="88"/>
      <c r="M432" s="88"/>
      <c r="N432" s="89"/>
      <c r="O432" s="89"/>
      <c r="P432" s="89"/>
      <c r="Q432" s="89"/>
      <c r="R432" s="89"/>
      <c r="S432" s="89"/>
    </row>
    <row r="433" spans="1:19" ht="15.75" customHeight="1">
      <c r="A433" s="47" t="s">
        <v>17</v>
      </c>
      <c r="B433" s="48" t="s">
        <v>94</v>
      </c>
      <c r="C433" s="48" t="s">
        <v>84</v>
      </c>
      <c r="D433" s="48" t="s">
        <v>414</v>
      </c>
      <c r="E433" s="46" t="s">
        <v>127</v>
      </c>
      <c r="F433" s="46" t="s">
        <v>129</v>
      </c>
      <c r="G433" s="112">
        <f t="shared" si="36"/>
        <v>475.1</v>
      </c>
      <c r="H433" s="113">
        <f>H434+H435</f>
        <v>0</v>
      </c>
      <c r="I433" s="111">
        <f>I434+I435</f>
        <v>59.370000000000005</v>
      </c>
      <c r="J433" s="90">
        <f>J434+J435</f>
        <v>178.09544</v>
      </c>
      <c r="K433" s="90">
        <f>K434+K435</f>
        <v>237.63456</v>
      </c>
      <c r="L433" s="91"/>
      <c r="M433" s="91"/>
      <c r="N433" s="89"/>
      <c r="O433" s="89"/>
      <c r="P433" s="89"/>
      <c r="Q433" s="89"/>
      <c r="R433" s="89"/>
      <c r="S433" s="89"/>
    </row>
    <row r="434" spans="1:19" ht="15.75" customHeight="1">
      <c r="A434" s="49" t="s">
        <v>18</v>
      </c>
      <c r="B434" s="48" t="s">
        <v>94</v>
      </c>
      <c r="C434" s="48" t="s">
        <v>84</v>
      </c>
      <c r="D434" s="48" t="s">
        <v>414</v>
      </c>
      <c r="E434" s="46" t="s">
        <v>110</v>
      </c>
      <c r="F434" s="46" t="s">
        <v>130</v>
      </c>
      <c r="G434" s="112">
        <f t="shared" si="36"/>
        <v>364.9</v>
      </c>
      <c r="H434" s="113">
        <v>0</v>
      </c>
      <c r="I434" s="112">
        <v>45.6</v>
      </c>
      <c r="J434" s="90">
        <v>136.78882</v>
      </c>
      <c r="K434" s="90">
        <v>182.51118</v>
      </c>
      <c r="L434" s="91"/>
      <c r="M434" s="91"/>
      <c r="N434" s="89"/>
      <c r="O434" s="89"/>
      <c r="P434" s="89"/>
      <c r="Q434" s="89"/>
      <c r="R434" s="89"/>
      <c r="S434" s="89"/>
    </row>
    <row r="435" spans="1:19" ht="15.75" customHeight="1">
      <c r="A435" s="49" t="s">
        <v>20</v>
      </c>
      <c r="B435" s="48" t="s">
        <v>94</v>
      </c>
      <c r="C435" s="48" t="s">
        <v>84</v>
      </c>
      <c r="D435" s="48" t="s">
        <v>414</v>
      </c>
      <c r="E435" s="46" t="s">
        <v>110</v>
      </c>
      <c r="F435" s="46" t="s">
        <v>132</v>
      </c>
      <c r="G435" s="112">
        <f t="shared" si="36"/>
        <v>110.2</v>
      </c>
      <c r="H435" s="113">
        <v>0</v>
      </c>
      <c r="I435" s="111">
        <v>13.77</v>
      </c>
      <c r="J435" s="90">
        <v>41.30662</v>
      </c>
      <c r="K435" s="90">
        <v>55.12338</v>
      </c>
      <c r="L435" s="91"/>
      <c r="M435" s="91"/>
      <c r="N435" s="89"/>
      <c r="O435" s="89"/>
      <c r="P435" s="89"/>
      <c r="Q435" s="89"/>
      <c r="R435" s="89"/>
      <c r="S435" s="89"/>
    </row>
    <row r="436" spans="1:19" ht="43.5" customHeight="1">
      <c r="A436" s="45" t="s">
        <v>466</v>
      </c>
      <c r="B436" s="18" t="s">
        <v>94</v>
      </c>
      <c r="C436" s="18" t="s">
        <v>84</v>
      </c>
      <c r="D436" s="18" t="s">
        <v>467</v>
      </c>
      <c r="E436" s="18" t="s">
        <v>155</v>
      </c>
      <c r="F436" s="18"/>
      <c r="G436" s="98">
        <f t="shared" si="36"/>
        <v>30</v>
      </c>
      <c r="H436" s="83">
        <f>H437</f>
        <v>0</v>
      </c>
      <c r="I436" s="83">
        <f>I437</f>
        <v>0</v>
      </c>
      <c r="J436" s="83">
        <f>J437</f>
        <v>0</v>
      </c>
      <c r="K436" s="98">
        <f>K437</f>
        <v>30</v>
      </c>
      <c r="L436" s="72"/>
      <c r="M436" s="72"/>
      <c r="N436" s="89"/>
      <c r="O436" s="89"/>
      <c r="P436" s="89"/>
      <c r="Q436" s="89"/>
      <c r="R436" s="89"/>
      <c r="S436" s="89"/>
    </row>
    <row r="437" spans="1:19" ht="15.75" customHeight="1">
      <c r="A437" s="13" t="s">
        <v>36</v>
      </c>
      <c r="B437" s="18" t="s">
        <v>94</v>
      </c>
      <c r="C437" s="18" t="s">
        <v>84</v>
      </c>
      <c r="D437" s="18" t="s">
        <v>467</v>
      </c>
      <c r="E437" s="18" t="s">
        <v>128</v>
      </c>
      <c r="F437" s="18" t="s">
        <v>140</v>
      </c>
      <c r="G437" s="98">
        <f t="shared" si="36"/>
        <v>30</v>
      </c>
      <c r="H437" s="83">
        <v>0</v>
      </c>
      <c r="I437" s="83">
        <v>0</v>
      </c>
      <c r="J437" s="83">
        <v>0</v>
      </c>
      <c r="K437" s="98">
        <v>30</v>
      </c>
      <c r="L437" s="72"/>
      <c r="M437" s="72"/>
      <c r="N437" s="89"/>
      <c r="O437" s="89"/>
      <c r="P437" s="89"/>
      <c r="Q437" s="89"/>
      <c r="R437" s="89"/>
      <c r="S437" s="89"/>
    </row>
    <row r="438" spans="1:13" ht="51.75" customHeight="1">
      <c r="A438" s="21" t="s">
        <v>264</v>
      </c>
      <c r="B438" s="20" t="s">
        <v>94</v>
      </c>
      <c r="C438" s="20" t="s">
        <v>84</v>
      </c>
      <c r="D438" s="20" t="s">
        <v>234</v>
      </c>
      <c r="E438" s="20" t="s">
        <v>155</v>
      </c>
      <c r="F438" s="17"/>
      <c r="G438" s="79">
        <f t="shared" si="36"/>
        <v>1663.5912400000002</v>
      </c>
      <c r="H438" s="79">
        <f>H439+H443+H461+H460</f>
        <v>319.84799000000004</v>
      </c>
      <c r="I438" s="79">
        <f>I439+I443+I461+I460</f>
        <v>556.07696</v>
      </c>
      <c r="J438" s="79">
        <f>J439+J443+J461+J460</f>
        <v>332.77738000000005</v>
      </c>
      <c r="K438" s="79">
        <f>K439+K443+K461+K460</f>
        <v>454.88891</v>
      </c>
      <c r="L438" s="70"/>
      <c r="M438" s="70"/>
    </row>
    <row r="439" spans="1:13" ht="15.75" customHeight="1">
      <c r="A439" s="13" t="s">
        <v>17</v>
      </c>
      <c r="B439" s="18" t="s">
        <v>94</v>
      </c>
      <c r="C439" s="18" t="s">
        <v>84</v>
      </c>
      <c r="D439" s="18" t="s">
        <v>234</v>
      </c>
      <c r="E439" s="18" t="s">
        <v>127</v>
      </c>
      <c r="F439" s="18" t="s">
        <v>129</v>
      </c>
      <c r="G439" s="71">
        <f t="shared" si="36"/>
        <v>1208.9114100000002</v>
      </c>
      <c r="H439" s="71">
        <f>H440+H442</f>
        <v>221.59192000000002</v>
      </c>
      <c r="I439" s="71">
        <f>I440+I442</f>
        <v>403.05341</v>
      </c>
      <c r="J439" s="71">
        <f>J440+J442</f>
        <v>285.84482</v>
      </c>
      <c r="K439" s="71">
        <f>K440+K442</f>
        <v>298.42126</v>
      </c>
      <c r="L439" s="72"/>
      <c r="M439" s="72"/>
    </row>
    <row r="440" spans="1:13" ht="15.75" customHeight="1">
      <c r="A440" s="14" t="s">
        <v>18</v>
      </c>
      <c r="B440" s="18" t="s">
        <v>94</v>
      </c>
      <c r="C440" s="18" t="s">
        <v>84</v>
      </c>
      <c r="D440" s="18" t="s">
        <v>234</v>
      </c>
      <c r="E440" s="18" t="s">
        <v>110</v>
      </c>
      <c r="F440" s="18" t="s">
        <v>130</v>
      </c>
      <c r="G440" s="71">
        <f t="shared" si="36"/>
        <v>929.4148900000001</v>
      </c>
      <c r="H440" s="71">
        <f>171.8+2.36984</f>
        <v>174.16984000000002</v>
      </c>
      <c r="I440" s="71">
        <f>206.1-2.36984+102.18661</f>
        <v>305.91677</v>
      </c>
      <c r="J440" s="71">
        <v>219.51513</v>
      </c>
      <c r="K440" s="71">
        <f>124.91826+13.60346+39.70141+51.59002</f>
        <v>229.81315000000004</v>
      </c>
      <c r="L440" s="72"/>
      <c r="M440" s="72"/>
    </row>
    <row r="441" spans="1:13" ht="15.75" customHeight="1" hidden="1">
      <c r="A441" s="14" t="s">
        <v>19</v>
      </c>
      <c r="B441" s="18" t="s">
        <v>94</v>
      </c>
      <c r="C441" s="18" t="s">
        <v>84</v>
      </c>
      <c r="D441" s="18" t="s">
        <v>234</v>
      </c>
      <c r="E441" s="18" t="s">
        <v>110</v>
      </c>
      <c r="F441" s="18" t="s">
        <v>131</v>
      </c>
      <c r="G441" s="71"/>
      <c r="H441" s="71"/>
      <c r="I441" s="71"/>
      <c r="J441" s="71"/>
      <c r="K441" s="71"/>
      <c r="L441" s="72"/>
      <c r="M441" s="72"/>
    </row>
    <row r="442" spans="1:13" ht="15.75" customHeight="1">
      <c r="A442" s="14" t="s">
        <v>20</v>
      </c>
      <c r="B442" s="18" t="s">
        <v>94</v>
      </c>
      <c r="C442" s="18" t="s">
        <v>84</v>
      </c>
      <c r="D442" s="18" t="s">
        <v>234</v>
      </c>
      <c r="E442" s="18" t="s">
        <v>110</v>
      </c>
      <c r="F442" s="18" t="s">
        <v>132</v>
      </c>
      <c r="G442" s="71">
        <f>H442+I442+J442+K442</f>
        <v>279.49652</v>
      </c>
      <c r="H442" s="71">
        <f>41.5+5.92208</f>
        <v>47.42208</v>
      </c>
      <c r="I442" s="71">
        <f>62.2-5.92208+40.85872</f>
        <v>97.13664</v>
      </c>
      <c r="J442" s="71">
        <f>66.32959+0.0001</f>
        <v>66.32969</v>
      </c>
      <c r="K442" s="71">
        <f>38.11169-0.0001+3.3235+11.98983+15.18319</f>
        <v>68.60811</v>
      </c>
      <c r="L442" s="72"/>
      <c r="M442" s="72"/>
    </row>
    <row r="443" spans="1:13" ht="14.25" customHeight="1">
      <c r="A443" s="14" t="s">
        <v>21</v>
      </c>
      <c r="B443" s="18" t="s">
        <v>94</v>
      </c>
      <c r="C443" s="18" t="s">
        <v>84</v>
      </c>
      <c r="D443" s="18" t="s">
        <v>234</v>
      </c>
      <c r="E443" s="18" t="s">
        <v>110</v>
      </c>
      <c r="F443" s="18" t="s">
        <v>133</v>
      </c>
      <c r="G443" s="71">
        <f>H443+I443+J443+K443</f>
        <v>367.97364</v>
      </c>
      <c r="H443" s="71">
        <f>H444+H446+H451+H458</f>
        <v>85.85288</v>
      </c>
      <c r="I443" s="71">
        <f>I444+I446+I451+I458</f>
        <v>92.81455</v>
      </c>
      <c r="J443" s="71">
        <f>J444+J446+J451+J458</f>
        <v>46.93256</v>
      </c>
      <c r="K443" s="71">
        <f>K444+K446+K451+K458</f>
        <v>142.37365</v>
      </c>
      <c r="L443" s="72"/>
      <c r="M443" s="72"/>
    </row>
    <row r="444" spans="1:13" ht="15.75" customHeight="1">
      <c r="A444" s="14" t="s">
        <v>22</v>
      </c>
      <c r="B444" s="18" t="s">
        <v>94</v>
      </c>
      <c r="C444" s="18" t="s">
        <v>84</v>
      </c>
      <c r="D444" s="18" t="s">
        <v>234</v>
      </c>
      <c r="E444" s="18" t="s">
        <v>110</v>
      </c>
      <c r="F444" s="18" t="s">
        <v>134</v>
      </c>
      <c r="G444" s="71">
        <f>H444+I444+J444+K444</f>
        <v>14.58292</v>
      </c>
      <c r="H444" s="71">
        <f>4.6-1.98839</f>
        <v>2.6116099999999998</v>
      </c>
      <c r="I444" s="71">
        <f>5+1.98839-3.40187</f>
        <v>3.5865199999999997</v>
      </c>
      <c r="J444" s="71">
        <f>5+3.40187-4.83747</f>
        <v>3.564400000000001</v>
      </c>
      <c r="K444" s="71">
        <f>6.4+4.83747-6.41708</f>
        <v>4.82039</v>
      </c>
      <c r="L444" s="72"/>
      <c r="M444" s="72"/>
    </row>
    <row r="445" spans="1:13" ht="15.75" customHeight="1" hidden="1">
      <c r="A445" s="14" t="s">
        <v>23</v>
      </c>
      <c r="B445" s="18" t="s">
        <v>94</v>
      </c>
      <c r="C445" s="18" t="s">
        <v>84</v>
      </c>
      <c r="D445" s="18" t="s">
        <v>234</v>
      </c>
      <c r="E445" s="18" t="s">
        <v>110</v>
      </c>
      <c r="F445" s="18" t="s">
        <v>135</v>
      </c>
      <c r="G445" s="71"/>
      <c r="H445" s="71"/>
      <c r="I445" s="71"/>
      <c r="J445" s="71"/>
      <c r="K445" s="71"/>
      <c r="L445" s="72"/>
      <c r="M445" s="72"/>
    </row>
    <row r="446" spans="1:13" ht="15.75" customHeight="1">
      <c r="A446" s="14" t="s">
        <v>24</v>
      </c>
      <c r="B446" s="18" t="s">
        <v>94</v>
      </c>
      <c r="C446" s="18" t="s">
        <v>84</v>
      </c>
      <c r="D446" s="18" t="s">
        <v>234</v>
      </c>
      <c r="E446" s="18" t="s">
        <v>110</v>
      </c>
      <c r="F446" s="18" t="s">
        <v>136</v>
      </c>
      <c r="G446" s="71">
        <f>H446+I446+J446+K446</f>
        <v>82.43691</v>
      </c>
      <c r="H446" s="71">
        <f>H448+H449+H450</f>
        <v>25.54495</v>
      </c>
      <c r="I446" s="71">
        <f>I448+I449+I450</f>
        <v>24.377550000000003</v>
      </c>
      <c r="J446" s="71">
        <f>J448+J449+J450</f>
        <v>12.86228</v>
      </c>
      <c r="K446" s="71">
        <f>K448+K449+K450</f>
        <v>19.652129999999996</v>
      </c>
      <c r="L446" s="72"/>
      <c r="M446" s="72"/>
    </row>
    <row r="447" spans="1:13" ht="12" customHeight="1">
      <c r="A447" s="14" t="s">
        <v>25</v>
      </c>
      <c r="B447" s="18" t="s">
        <v>94</v>
      </c>
      <c r="C447" s="18" t="s">
        <v>84</v>
      </c>
      <c r="D447" s="18" t="s">
        <v>234</v>
      </c>
      <c r="E447" s="18" t="s">
        <v>110</v>
      </c>
      <c r="F447" s="18"/>
      <c r="G447" s="71"/>
      <c r="H447" s="71"/>
      <c r="I447" s="71"/>
      <c r="J447" s="71"/>
      <c r="K447" s="71"/>
      <c r="L447" s="72"/>
      <c r="M447" s="72"/>
    </row>
    <row r="448" spans="1:13" ht="12.75" customHeight="1">
      <c r="A448" s="14" t="s">
        <v>26</v>
      </c>
      <c r="B448" s="18" t="s">
        <v>94</v>
      </c>
      <c r="C448" s="18" t="s">
        <v>84</v>
      </c>
      <c r="D448" s="18" t="s">
        <v>234</v>
      </c>
      <c r="E448" s="18" t="s">
        <v>110</v>
      </c>
      <c r="F448" s="18" t="s">
        <v>136</v>
      </c>
      <c r="G448" s="71">
        <f>H448+I448+J448+K448</f>
        <v>59.126729999999995</v>
      </c>
      <c r="H448" s="71">
        <f>27-6.65101</f>
        <v>20.34899</v>
      </c>
      <c r="I448" s="71">
        <f>16+6.65101-3.92726</f>
        <v>18.72375</v>
      </c>
      <c r="J448" s="71">
        <f>3.92726+3.0858</f>
        <v>7.013059999999999</v>
      </c>
      <c r="K448" s="71">
        <f>38.8-3.0858-22.67327</f>
        <v>13.04093</v>
      </c>
      <c r="L448" s="72"/>
      <c r="M448" s="72"/>
    </row>
    <row r="449" spans="1:16" ht="15.75" customHeight="1">
      <c r="A449" s="14" t="s">
        <v>27</v>
      </c>
      <c r="B449" s="18" t="s">
        <v>94</v>
      </c>
      <c r="C449" s="18" t="s">
        <v>84</v>
      </c>
      <c r="D449" s="18" t="s">
        <v>234</v>
      </c>
      <c r="E449" s="18" t="s">
        <v>110</v>
      </c>
      <c r="F449" s="18" t="s">
        <v>136</v>
      </c>
      <c r="G449" s="71">
        <f>H449+I449+J449+K449</f>
        <v>22.781010000000002</v>
      </c>
      <c r="H449" s="71">
        <f>15.4-10.32052</f>
        <v>5.07948</v>
      </c>
      <c r="I449" s="71">
        <f>13+10.32052-17.84144</f>
        <v>5.479080000000003</v>
      </c>
      <c r="J449" s="71">
        <f>9.1+17.84144-21.27028</f>
        <v>5.67116</v>
      </c>
      <c r="K449" s="71">
        <f>10.5+21.27028-25.21899</f>
        <v>6.551289999999998</v>
      </c>
      <c r="L449" s="72"/>
      <c r="M449" s="72"/>
      <c r="P449" s="92"/>
    </row>
    <row r="450" spans="1:13" ht="12.75" customHeight="1">
      <c r="A450" s="14" t="s">
        <v>28</v>
      </c>
      <c r="B450" s="18" t="s">
        <v>94</v>
      </c>
      <c r="C450" s="18" t="s">
        <v>84</v>
      </c>
      <c r="D450" s="18" t="s">
        <v>234</v>
      </c>
      <c r="E450" s="18" t="s">
        <v>110</v>
      </c>
      <c r="F450" s="18" t="s">
        <v>136</v>
      </c>
      <c r="G450" s="71">
        <f>H450+I450+J450+K450</f>
        <v>0.52917</v>
      </c>
      <c r="H450" s="71">
        <f>0.1+0.01648</f>
        <v>0.11648</v>
      </c>
      <c r="I450" s="71">
        <f>0.2-0.01648-0.0088</f>
        <v>0.17472000000000001</v>
      </c>
      <c r="J450" s="71">
        <f>0.2+0.0088-0.03074</f>
        <v>0.17806000000000002</v>
      </c>
      <c r="K450" s="71">
        <f>0.2+0.03074-0.17083</f>
        <v>0.05990999999999999</v>
      </c>
      <c r="L450" s="72"/>
      <c r="M450" s="72"/>
    </row>
    <row r="451" spans="1:13" ht="13.5" customHeight="1">
      <c r="A451" s="14" t="s">
        <v>29</v>
      </c>
      <c r="B451" s="18" t="s">
        <v>94</v>
      </c>
      <c r="C451" s="18" t="s">
        <v>84</v>
      </c>
      <c r="D451" s="18" t="s">
        <v>234</v>
      </c>
      <c r="E451" s="18" t="s">
        <v>110</v>
      </c>
      <c r="F451" s="18" t="s">
        <v>111</v>
      </c>
      <c r="G451" s="71">
        <f>J451+K451+H451+I451</f>
        <v>76.76432</v>
      </c>
      <c r="H451" s="71">
        <f>H453</f>
        <v>12.14032</v>
      </c>
      <c r="I451" s="71">
        <f>I453</f>
        <v>20.01148</v>
      </c>
      <c r="J451" s="71">
        <f>J453</f>
        <v>20.60588</v>
      </c>
      <c r="K451" s="71">
        <f>K453</f>
        <v>24.00664000000001</v>
      </c>
      <c r="L451" s="72"/>
      <c r="M451" s="72"/>
    </row>
    <row r="452" spans="1:13" ht="12.75" customHeight="1">
      <c r="A452" s="14" t="s">
        <v>25</v>
      </c>
      <c r="B452" s="18" t="s">
        <v>94</v>
      </c>
      <c r="C452" s="18" t="s">
        <v>84</v>
      </c>
      <c r="D452" s="18" t="s">
        <v>234</v>
      </c>
      <c r="E452" s="18" t="s">
        <v>110</v>
      </c>
      <c r="F452" s="18" t="s">
        <v>111</v>
      </c>
      <c r="G452" s="71"/>
      <c r="H452" s="71"/>
      <c r="I452" s="71"/>
      <c r="J452" s="71"/>
      <c r="K452" s="71"/>
      <c r="L452" s="72"/>
      <c r="M452" s="72"/>
    </row>
    <row r="453" spans="1:13" ht="13.5" customHeight="1">
      <c r="A453" s="14" t="s">
        <v>30</v>
      </c>
      <c r="B453" s="18" t="s">
        <v>94</v>
      </c>
      <c r="C453" s="18" t="s">
        <v>84</v>
      </c>
      <c r="D453" s="18" t="s">
        <v>234</v>
      </c>
      <c r="E453" s="18" t="s">
        <v>110</v>
      </c>
      <c r="F453" s="18" t="s">
        <v>111</v>
      </c>
      <c r="G453" s="71">
        <f>J453+K453+H453+I453</f>
        <v>76.76432</v>
      </c>
      <c r="H453" s="71">
        <f>7.2+4.94032</f>
        <v>12.14032</v>
      </c>
      <c r="I453" s="71">
        <f>11.6-4.94032+0.26148+6.54516+60-39.647-13.80784</f>
        <v>20.01148</v>
      </c>
      <c r="J453" s="71">
        <f>14.4-0.26148-6.54516+13.80784+68.7-69.49532</f>
        <v>20.60588</v>
      </c>
      <c r="K453" s="71">
        <f>22.24+69.49532-21.82203-3.3-6.6-27.29442-8.71223</f>
        <v>24.00664000000001</v>
      </c>
      <c r="L453" s="72"/>
      <c r="M453" s="72"/>
    </row>
    <row r="454" spans="1:13" ht="15.75" customHeight="1" hidden="1">
      <c r="A454" s="14" t="s">
        <v>76</v>
      </c>
      <c r="B454" s="18" t="s">
        <v>94</v>
      </c>
      <c r="C454" s="18" t="s">
        <v>84</v>
      </c>
      <c r="D454" s="18" t="s">
        <v>234</v>
      </c>
      <c r="E454" s="18" t="s">
        <v>110</v>
      </c>
      <c r="F454" s="18" t="s">
        <v>111</v>
      </c>
      <c r="G454" s="71"/>
      <c r="H454" s="71"/>
      <c r="I454" s="71"/>
      <c r="J454" s="71"/>
      <c r="K454" s="71"/>
      <c r="L454" s="72"/>
      <c r="M454" s="72"/>
    </row>
    <row r="455" spans="1:13" ht="12.75" customHeight="1" hidden="1">
      <c r="A455" s="14" t="s">
        <v>31</v>
      </c>
      <c r="B455" s="18" t="s">
        <v>94</v>
      </c>
      <c r="C455" s="18" t="s">
        <v>84</v>
      </c>
      <c r="D455" s="18" t="s">
        <v>234</v>
      </c>
      <c r="E455" s="18" t="s">
        <v>110</v>
      </c>
      <c r="F455" s="18" t="s">
        <v>111</v>
      </c>
      <c r="G455" s="71"/>
      <c r="H455" s="71"/>
      <c r="I455" s="71"/>
      <c r="J455" s="71"/>
      <c r="K455" s="71"/>
      <c r="L455" s="72"/>
      <c r="M455" s="72"/>
    </row>
    <row r="456" spans="1:13" ht="15.75" customHeight="1" hidden="1">
      <c r="A456" s="14" t="s">
        <v>77</v>
      </c>
      <c r="B456" s="18" t="s">
        <v>94</v>
      </c>
      <c r="C456" s="18" t="s">
        <v>84</v>
      </c>
      <c r="D456" s="18" t="s">
        <v>234</v>
      </c>
      <c r="E456" s="18" t="s">
        <v>110</v>
      </c>
      <c r="F456" s="18" t="s">
        <v>111</v>
      </c>
      <c r="G456" s="71"/>
      <c r="H456" s="71"/>
      <c r="I456" s="71"/>
      <c r="J456" s="71"/>
      <c r="K456" s="71"/>
      <c r="L456" s="72"/>
      <c r="M456" s="72"/>
    </row>
    <row r="457" spans="1:13" ht="14.25" customHeight="1" hidden="1">
      <c r="A457" s="14" t="s">
        <v>78</v>
      </c>
      <c r="B457" s="18" t="s">
        <v>94</v>
      </c>
      <c r="C457" s="18" t="s">
        <v>84</v>
      </c>
      <c r="D457" s="18" t="s">
        <v>234</v>
      </c>
      <c r="E457" s="18" t="s">
        <v>110</v>
      </c>
      <c r="F457" s="18" t="s">
        <v>111</v>
      </c>
      <c r="G457" s="71"/>
      <c r="H457" s="71"/>
      <c r="I457" s="71"/>
      <c r="J457" s="71"/>
      <c r="K457" s="71"/>
      <c r="L457" s="72"/>
      <c r="M457" s="72"/>
    </row>
    <row r="458" spans="1:13" ht="15.75" customHeight="1">
      <c r="A458" s="14" t="s">
        <v>32</v>
      </c>
      <c r="B458" s="18" t="s">
        <v>94</v>
      </c>
      <c r="C458" s="18" t="s">
        <v>84</v>
      </c>
      <c r="D458" s="18" t="s">
        <v>234</v>
      </c>
      <c r="E458" s="18" t="s">
        <v>110</v>
      </c>
      <c r="F458" s="18" t="s">
        <v>112</v>
      </c>
      <c r="G458" s="71">
        <f>J458+K458+I458+H458</f>
        <v>194.18948999999998</v>
      </c>
      <c r="H458" s="97">
        <f>90-44.444</f>
        <v>45.556</v>
      </c>
      <c r="I458" s="97">
        <f>20+44.444-19.605</f>
        <v>44.839</v>
      </c>
      <c r="J458" s="84">
        <f>19.605-9.705</f>
        <v>9.9</v>
      </c>
      <c r="K458" s="71">
        <f>42.1+9.705+21.82203+3.3+6.6+10.36746</f>
        <v>93.89448999999999</v>
      </c>
      <c r="L458" s="72"/>
      <c r="M458" s="72"/>
    </row>
    <row r="459" spans="1:13" ht="15.75" customHeight="1" hidden="1">
      <c r="A459" s="14" t="s">
        <v>34</v>
      </c>
      <c r="B459" s="18" t="s">
        <v>94</v>
      </c>
      <c r="C459" s="18" t="s">
        <v>84</v>
      </c>
      <c r="D459" s="18" t="s">
        <v>234</v>
      </c>
      <c r="E459" s="18" t="s">
        <v>110</v>
      </c>
      <c r="F459" s="18" t="s">
        <v>137</v>
      </c>
      <c r="G459" s="71"/>
      <c r="H459" s="71"/>
      <c r="I459" s="97"/>
      <c r="J459" s="84"/>
      <c r="K459" s="71"/>
      <c r="L459" s="72"/>
      <c r="M459" s="72"/>
    </row>
    <row r="460" spans="1:13" ht="15.75" customHeight="1">
      <c r="A460" s="14" t="s">
        <v>33</v>
      </c>
      <c r="B460" s="18" t="s">
        <v>94</v>
      </c>
      <c r="C460" s="18" t="s">
        <v>84</v>
      </c>
      <c r="D460" s="18" t="s">
        <v>234</v>
      </c>
      <c r="E460" s="18" t="s">
        <v>110</v>
      </c>
      <c r="F460" s="18" t="s">
        <v>138</v>
      </c>
      <c r="G460" s="71">
        <f>H460+I460+J460+K460</f>
        <v>30.63019</v>
      </c>
      <c r="H460" s="71">
        <f>9-1.31681</f>
        <v>7.68319</v>
      </c>
      <c r="I460" s="97">
        <f>8.5+1.31681+5.55519</f>
        <v>15.372</v>
      </c>
      <c r="J460" s="83">
        <f>8.3-5.55519-2.74481</f>
        <v>0</v>
      </c>
      <c r="K460" s="97">
        <f>8.24+2.74481-3.40981</f>
        <v>7.574999999999999</v>
      </c>
      <c r="L460" s="72"/>
      <c r="M460" s="72"/>
    </row>
    <row r="461" spans="1:13" ht="16.5" customHeight="1">
      <c r="A461" s="13" t="s">
        <v>35</v>
      </c>
      <c r="B461" s="18" t="s">
        <v>94</v>
      </c>
      <c r="C461" s="18" t="s">
        <v>84</v>
      </c>
      <c r="D461" s="18" t="s">
        <v>234</v>
      </c>
      <c r="E461" s="18" t="s">
        <v>127</v>
      </c>
      <c r="F461" s="18" t="s">
        <v>139</v>
      </c>
      <c r="G461" s="97">
        <f>J461+K461+H461+I461</f>
        <v>56.07600000000001</v>
      </c>
      <c r="H461" s="98">
        <f>H462+H464+H463</f>
        <v>4.720000000000001</v>
      </c>
      <c r="I461" s="97">
        <f>I462+I464+I463</f>
        <v>44.837</v>
      </c>
      <c r="J461" s="83">
        <f>J462+J464+J463</f>
        <v>0</v>
      </c>
      <c r="K461" s="97">
        <f>K462+K464+K463</f>
        <v>6.519</v>
      </c>
      <c r="L461" s="72"/>
      <c r="M461" s="72"/>
    </row>
    <row r="462" spans="1:13" ht="13.5" customHeight="1" hidden="1">
      <c r="A462" s="13" t="s">
        <v>36</v>
      </c>
      <c r="B462" s="18" t="s">
        <v>94</v>
      </c>
      <c r="C462" s="18" t="s">
        <v>84</v>
      </c>
      <c r="D462" s="18" t="s">
        <v>234</v>
      </c>
      <c r="E462" s="18" t="s">
        <v>110</v>
      </c>
      <c r="F462" s="18" t="s">
        <v>140</v>
      </c>
      <c r="G462" s="97">
        <f>J462+K462+H462+I462</f>
        <v>0</v>
      </c>
      <c r="H462" s="98">
        <v>0</v>
      </c>
      <c r="I462" s="97">
        <f>97.36-97.36</f>
        <v>0</v>
      </c>
      <c r="J462" s="83">
        <f>97.36-97.36</f>
        <v>0</v>
      </c>
      <c r="K462" s="97">
        <v>0</v>
      </c>
      <c r="L462" s="72"/>
      <c r="M462" s="72"/>
    </row>
    <row r="463" spans="1:13" ht="13.5" customHeight="1" hidden="1">
      <c r="A463" s="13" t="s">
        <v>36</v>
      </c>
      <c r="B463" s="18" t="s">
        <v>94</v>
      </c>
      <c r="C463" s="18" t="s">
        <v>84</v>
      </c>
      <c r="D463" s="18" t="s">
        <v>234</v>
      </c>
      <c r="E463" s="18" t="s">
        <v>128</v>
      </c>
      <c r="F463" s="18" t="s">
        <v>140</v>
      </c>
      <c r="G463" s="97">
        <f>J463+K463+H463+I463</f>
        <v>0</v>
      </c>
      <c r="H463" s="98">
        <v>0</v>
      </c>
      <c r="I463" s="97">
        <f>97.36-97.36</f>
        <v>0</v>
      </c>
      <c r="J463" s="83">
        <f>97.36-97.36</f>
        <v>0</v>
      </c>
      <c r="K463" s="97">
        <v>0</v>
      </c>
      <c r="L463" s="72"/>
      <c r="M463" s="72"/>
    </row>
    <row r="464" spans="1:13" ht="15.75" customHeight="1">
      <c r="A464" s="13" t="s">
        <v>37</v>
      </c>
      <c r="B464" s="18" t="s">
        <v>94</v>
      </c>
      <c r="C464" s="18" t="s">
        <v>84</v>
      </c>
      <c r="D464" s="18" t="s">
        <v>234</v>
      </c>
      <c r="E464" s="18" t="s">
        <v>110</v>
      </c>
      <c r="F464" s="18" t="s">
        <v>141</v>
      </c>
      <c r="G464" s="97">
        <f>J464+K464+H464+I464</f>
        <v>56.07600000000001</v>
      </c>
      <c r="H464" s="98">
        <f>H468</f>
        <v>4.720000000000001</v>
      </c>
      <c r="I464" s="97">
        <f>I468</f>
        <v>44.837</v>
      </c>
      <c r="J464" s="83">
        <f>J468</f>
        <v>0</v>
      </c>
      <c r="K464" s="97">
        <f>K468</f>
        <v>6.519</v>
      </c>
      <c r="L464" s="72"/>
      <c r="M464" s="72"/>
    </row>
    <row r="465" spans="1:13" ht="12.75" customHeight="1">
      <c r="A465" s="13" t="s">
        <v>25</v>
      </c>
      <c r="B465" s="18" t="s">
        <v>94</v>
      </c>
      <c r="C465" s="18" t="s">
        <v>84</v>
      </c>
      <c r="D465" s="18" t="s">
        <v>234</v>
      </c>
      <c r="E465" s="18" t="s">
        <v>110</v>
      </c>
      <c r="F465" s="18"/>
      <c r="G465" s="71"/>
      <c r="H465" s="98"/>
      <c r="I465" s="97"/>
      <c r="J465" s="83"/>
      <c r="K465" s="97"/>
      <c r="L465" s="72"/>
      <c r="M465" s="72"/>
    </row>
    <row r="466" spans="1:13" ht="14.25" customHeight="1" hidden="1">
      <c r="A466" s="13" t="s">
        <v>38</v>
      </c>
      <c r="B466" s="18" t="s">
        <v>94</v>
      </c>
      <c r="C466" s="18" t="s">
        <v>84</v>
      </c>
      <c r="D466" s="18" t="s">
        <v>234</v>
      </c>
      <c r="E466" s="18" t="s">
        <v>110</v>
      </c>
      <c r="F466" s="18" t="s">
        <v>141</v>
      </c>
      <c r="G466" s="71"/>
      <c r="H466" s="98"/>
      <c r="I466" s="97"/>
      <c r="J466" s="83"/>
      <c r="K466" s="97"/>
      <c r="L466" s="72"/>
      <c r="M466" s="72"/>
    </row>
    <row r="467" spans="1:13" ht="15.75" customHeight="1" hidden="1">
      <c r="A467" s="13" t="s">
        <v>80</v>
      </c>
      <c r="B467" s="18" t="s">
        <v>94</v>
      </c>
      <c r="C467" s="18" t="s">
        <v>84</v>
      </c>
      <c r="D467" s="18" t="s">
        <v>234</v>
      </c>
      <c r="E467" s="18" t="s">
        <v>110</v>
      </c>
      <c r="F467" s="18" t="s">
        <v>141</v>
      </c>
      <c r="G467" s="71"/>
      <c r="H467" s="98"/>
      <c r="I467" s="97"/>
      <c r="J467" s="83"/>
      <c r="K467" s="97"/>
      <c r="L467" s="72"/>
      <c r="M467" s="72"/>
    </row>
    <row r="468" spans="1:13" ht="15.75" customHeight="1">
      <c r="A468" s="13" t="s">
        <v>39</v>
      </c>
      <c r="B468" s="18" t="s">
        <v>94</v>
      </c>
      <c r="C468" s="18" t="s">
        <v>84</v>
      </c>
      <c r="D468" s="18" t="s">
        <v>234</v>
      </c>
      <c r="E468" s="18" t="s">
        <v>110</v>
      </c>
      <c r="F468" s="18" t="s">
        <v>141</v>
      </c>
      <c r="G468" s="97">
        <f>J468+K468+H468+I468</f>
        <v>56.07600000000001</v>
      </c>
      <c r="H468" s="98">
        <f>16.6-11.88</f>
        <v>4.720000000000001</v>
      </c>
      <c r="I468" s="97">
        <f>11.88+39.647-6.69</f>
        <v>44.837</v>
      </c>
      <c r="J468" s="83">
        <f>6.69-6.69</f>
        <v>0</v>
      </c>
      <c r="K468" s="97">
        <f>6.69-0.171</f>
        <v>6.519</v>
      </c>
      <c r="L468" s="72"/>
      <c r="M468" s="72"/>
    </row>
    <row r="469" spans="1:13" ht="52.5" customHeight="1">
      <c r="A469" s="45" t="s">
        <v>449</v>
      </c>
      <c r="B469" s="18" t="s">
        <v>94</v>
      </c>
      <c r="C469" s="18" t="s">
        <v>84</v>
      </c>
      <c r="D469" s="18" t="s">
        <v>450</v>
      </c>
      <c r="E469" s="18" t="s">
        <v>155</v>
      </c>
      <c r="F469" s="18"/>
      <c r="G469" s="97">
        <f>H469+I469+J469+K469</f>
        <v>95.509</v>
      </c>
      <c r="H469" s="83">
        <f>H470</f>
        <v>0</v>
      </c>
      <c r="I469" s="83">
        <f>I470</f>
        <v>0</v>
      </c>
      <c r="J469" s="98">
        <f>J470</f>
        <v>38.72</v>
      </c>
      <c r="K469" s="97">
        <f>K470</f>
        <v>56.789</v>
      </c>
      <c r="L469" s="72"/>
      <c r="M469" s="72"/>
    </row>
    <row r="470" spans="1:13" ht="15.75" customHeight="1">
      <c r="A470" s="13" t="s">
        <v>36</v>
      </c>
      <c r="B470" s="18" t="s">
        <v>94</v>
      </c>
      <c r="C470" s="18" t="s">
        <v>84</v>
      </c>
      <c r="D470" s="18" t="s">
        <v>450</v>
      </c>
      <c r="E470" s="18" t="s">
        <v>128</v>
      </c>
      <c r="F470" s="18" t="s">
        <v>140</v>
      </c>
      <c r="G470" s="97">
        <f>H470+I470+J470+K470</f>
        <v>95.509</v>
      </c>
      <c r="H470" s="83">
        <v>0</v>
      </c>
      <c r="I470" s="83">
        <v>0</v>
      </c>
      <c r="J470" s="98">
        <f>97.36-58.64</f>
        <v>38.72</v>
      </c>
      <c r="K470" s="97">
        <f>58.64-1.851</f>
        <v>56.789</v>
      </c>
      <c r="L470" s="72"/>
      <c r="M470" s="72"/>
    </row>
    <row r="471" spans="1:13" ht="15.75" customHeight="1" hidden="1">
      <c r="A471" s="13"/>
      <c r="B471" s="18"/>
      <c r="C471" s="18"/>
      <c r="D471" s="18"/>
      <c r="E471" s="18"/>
      <c r="F471" s="18"/>
      <c r="G471" s="71"/>
      <c r="H471" s="71"/>
      <c r="I471" s="71"/>
      <c r="J471" s="71"/>
      <c r="K471" s="71"/>
      <c r="L471" s="72"/>
      <c r="M471" s="72"/>
    </row>
    <row r="472" spans="1:13" ht="15.75" customHeight="1" hidden="1">
      <c r="A472" s="13"/>
      <c r="B472" s="18"/>
      <c r="C472" s="18"/>
      <c r="D472" s="18"/>
      <c r="E472" s="18"/>
      <c r="F472" s="18"/>
      <c r="G472" s="71"/>
      <c r="H472" s="71"/>
      <c r="I472" s="71"/>
      <c r="J472" s="71"/>
      <c r="K472" s="71"/>
      <c r="L472" s="72"/>
      <c r="M472" s="72"/>
    </row>
    <row r="473" spans="1:13" ht="15.75" customHeight="1" hidden="1">
      <c r="A473" s="13"/>
      <c r="B473" s="18"/>
      <c r="C473" s="18"/>
      <c r="D473" s="18"/>
      <c r="E473" s="18"/>
      <c r="F473" s="18"/>
      <c r="G473" s="71"/>
      <c r="H473" s="71"/>
      <c r="I473" s="71"/>
      <c r="J473" s="71"/>
      <c r="K473" s="71"/>
      <c r="L473" s="72"/>
      <c r="M473" s="72"/>
    </row>
    <row r="474" spans="1:13" ht="15.75" customHeight="1" hidden="1">
      <c r="A474" s="13"/>
      <c r="B474" s="18"/>
      <c r="C474" s="18"/>
      <c r="D474" s="18"/>
      <c r="E474" s="18"/>
      <c r="F474" s="18"/>
      <c r="G474" s="71"/>
      <c r="H474" s="71"/>
      <c r="I474" s="71"/>
      <c r="J474" s="71"/>
      <c r="K474" s="71"/>
      <c r="L474" s="72"/>
      <c r="M474" s="72"/>
    </row>
    <row r="475" spans="1:13" ht="62.25" customHeight="1">
      <c r="A475" s="33" t="s">
        <v>380</v>
      </c>
      <c r="B475" s="34" t="s">
        <v>94</v>
      </c>
      <c r="C475" s="34" t="s">
        <v>84</v>
      </c>
      <c r="D475" s="34" t="s">
        <v>373</v>
      </c>
      <c r="E475" s="35" t="s">
        <v>155</v>
      </c>
      <c r="F475" s="17"/>
      <c r="G475" s="101">
        <f aca="true" t="shared" si="37" ref="G475:G482">H475+I475+J475+K475</f>
        <v>4755.253</v>
      </c>
      <c r="H475" s="103">
        <f>H476</f>
        <v>1057.75</v>
      </c>
      <c r="I475" s="103">
        <f>I476</f>
        <v>1106.9499999999998</v>
      </c>
      <c r="J475" s="99">
        <f>J476</f>
        <v>1475.2374</v>
      </c>
      <c r="K475" s="99">
        <f>K476</f>
        <v>1115.3156</v>
      </c>
      <c r="L475" s="72"/>
      <c r="M475" s="72"/>
    </row>
    <row r="476" spans="1:13" ht="15.75" customHeight="1">
      <c r="A476" s="13" t="s">
        <v>17</v>
      </c>
      <c r="B476" s="18" t="s">
        <v>94</v>
      </c>
      <c r="C476" s="18" t="s">
        <v>84</v>
      </c>
      <c r="D476" s="36" t="s">
        <v>373</v>
      </c>
      <c r="E476" s="37">
        <v>610</v>
      </c>
      <c r="F476" s="18" t="s">
        <v>129</v>
      </c>
      <c r="G476" s="97">
        <f t="shared" si="37"/>
        <v>4755.253</v>
      </c>
      <c r="H476" s="98">
        <f>H477+H478</f>
        <v>1057.75</v>
      </c>
      <c r="I476" s="98">
        <f>I477+I478</f>
        <v>1106.9499999999998</v>
      </c>
      <c r="J476" s="94">
        <f>J477+J478</f>
        <v>1475.2374</v>
      </c>
      <c r="K476" s="94">
        <f>K477+K478</f>
        <v>1115.3156</v>
      </c>
      <c r="L476" s="72"/>
      <c r="M476" s="72"/>
    </row>
    <row r="477" spans="1:13" ht="15.75" customHeight="1">
      <c r="A477" s="14" t="s">
        <v>18</v>
      </c>
      <c r="B477" s="18" t="s">
        <v>94</v>
      </c>
      <c r="C477" s="18" t="s">
        <v>84</v>
      </c>
      <c r="D477" s="36" t="s">
        <v>373</v>
      </c>
      <c r="E477" s="37">
        <v>611</v>
      </c>
      <c r="F477" s="18" t="s">
        <v>130</v>
      </c>
      <c r="G477" s="97">
        <f t="shared" si="37"/>
        <v>3652.268</v>
      </c>
      <c r="H477" s="98">
        <f>812.1924+0.5376</f>
        <v>812.73</v>
      </c>
      <c r="I477" s="97">
        <f>850.0572-0.5376+0.6764</f>
        <v>850.1959999999999</v>
      </c>
      <c r="J477" s="71">
        <f>793.26+56.7972-0.6764+0.33026+283.0164</f>
        <v>1132.72746</v>
      </c>
      <c r="K477" s="71">
        <f>793.26+56.7972-0.33026-283.0164+247.835+42.069</f>
        <v>856.61454</v>
      </c>
      <c r="L477" s="72"/>
      <c r="M477" s="72"/>
    </row>
    <row r="478" spans="1:13" ht="15.75" customHeight="1">
      <c r="A478" s="14" t="s">
        <v>19</v>
      </c>
      <c r="B478" s="18" t="s">
        <v>94</v>
      </c>
      <c r="C478" s="18" t="s">
        <v>84</v>
      </c>
      <c r="D478" s="36" t="s">
        <v>373</v>
      </c>
      <c r="E478" s="37">
        <v>611</v>
      </c>
      <c r="F478" s="18" t="s">
        <v>132</v>
      </c>
      <c r="G478" s="97">
        <f t="shared" si="37"/>
        <v>1102.9850000000001</v>
      </c>
      <c r="H478" s="98">
        <f>245.2776-0.2576</f>
        <v>245.02</v>
      </c>
      <c r="I478" s="97">
        <f>256.7128+0.2576-0.2164</f>
        <v>256.754</v>
      </c>
      <c r="J478" s="71">
        <f>239.57+17.1528+0.2164+0.09974+85.471</f>
        <v>342.50994000000003</v>
      </c>
      <c r="K478" s="71">
        <f>239.57+17.1528-0.09974-85.471+74.846+12.703</f>
        <v>258.70106</v>
      </c>
      <c r="L478" s="72"/>
      <c r="M478" s="72"/>
    </row>
    <row r="479" spans="1:13" ht="74.25" customHeight="1">
      <c r="A479" s="33" t="s">
        <v>381</v>
      </c>
      <c r="B479" s="34" t="s">
        <v>94</v>
      </c>
      <c r="C479" s="34" t="s">
        <v>84</v>
      </c>
      <c r="D479" s="34" t="s">
        <v>373</v>
      </c>
      <c r="E479" s="35" t="s">
        <v>155</v>
      </c>
      <c r="F479" s="17"/>
      <c r="G479" s="101">
        <f t="shared" si="37"/>
        <v>550.147</v>
      </c>
      <c r="H479" s="103">
        <f>H480</f>
        <v>140.85000000000002</v>
      </c>
      <c r="I479" s="103">
        <f>I480</f>
        <v>140.75</v>
      </c>
      <c r="J479" s="99">
        <f>J480</f>
        <v>188.3626</v>
      </c>
      <c r="K479" s="99">
        <f>K480</f>
        <v>80.18440000000001</v>
      </c>
      <c r="L479" s="72"/>
      <c r="M479" s="72"/>
    </row>
    <row r="480" spans="1:13" ht="12" customHeight="1">
      <c r="A480" s="13" t="s">
        <v>17</v>
      </c>
      <c r="B480" s="18" t="s">
        <v>94</v>
      </c>
      <c r="C480" s="18" t="s">
        <v>84</v>
      </c>
      <c r="D480" s="36" t="s">
        <v>373</v>
      </c>
      <c r="E480" s="37">
        <v>610</v>
      </c>
      <c r="F480" s="18" t="s">
        <v>129</v>
      </c>
      <c r="G480" s="97">
        <f t="shared" si="37"/>
        <v>550.147</v>
      </c>
      <c r="H480" s="98">
        <f>H481+H482</f>
        <v>140.85000000000002</v>
      </c>
      <c r="I480" s="98">
        <f>I481+I482</f>
        <v>140.75</v>
      </c>
      <c r="J480" s="94">
        <f>J481+J482</f>
        <v>188.3626</v>
      </c>
      <c r="K480" s="94">
        <f>K481+K482</f>
        <v>80.18440000000001</v>
      </c>
      <c r="L480" s="72"/>
      <c r="M480" s="72"/>
    </row>
    <row r="481" spans="1:13" ht="15.75" customHeight="1">
      <c r="A481" s="14" t="s">
        <v>18</v>
      </c>
      <c r="B481" s="18" t="s">
        <v>94</v>
      </c>
      <c r="C481" s="18" t="s">
        <v>84</v>
      </c>
      <c r="D481" s="36" t="s">
        <v>373</v>
      </c>
      <c r="E481" s="37">
        <v>611</v>
      </c>
      <c r="F481" s="18" t="s">
        <v>130</v>
      </c>
      <c r="G481" s="98">
        <f t="shared" si="37"/>
        <v>422.53999999999996</v>
      </c>
      <c r="H481" s="98">
        <v>108.18</v>
      </c>
      <c r="I481" s="98">
        <f>108.18-0.1</f>
        <v>108.08000000000001</v>
      </c>
      <c r="J481" s="94">
        <f>108.18+0.1+36.4152</f>
        <v>144.6952</v>
      </c>
      <c r="K481" s="94">
        <f>108.18-36.4152+31.889-42.069</f>
        <v>61.5848</v>
      </c>
      <c r="L481" s="72"/>
      <c r="M481" s="72"/>
    </row>
    <row r="482" spans="1:13" ht="15.75" customHeight="1">
      <c r="A482" s="14" t="s">
        <v>19</v>
      </c>
      <c r="B482" s="18" t="s">
        <v>94</v>
      </c>
      <c r="C482" s="18" t="s">
        <v>84</v>
      </c>
      <c r="D482" s="36" t="s">
        <v>373</v>
      </c>
      <c r="E482" s="37">
        <v>611</v>
      </c>
      <c r="F482" s="18" t="s">
        <v>132</v>
      </c>
      <c r="G482" s="97">
        <f t="shared" si="37"/>
        <v>127.60700000000001</v>
      </c>
      <c r="H482" s="98">
        <v>32.67</v>
      </c>
      <c r="I482" s="98">
        <v>32.67</v>
      </c>
      <c r="J482" s="94">
        <f>32.67+10.9974</f>
        <v>43.6674</v>
      </c>
      <c r="K482" s="94">
        <f>32.67-10.9974+9.63-12.703</f>
        <v>18.599600000000006</v>
      </c>
      <c r="L482" s="72"/>
      <c r="M482" s="72"/>
    </row>
    <row r="483" spans="1:13" ht="74.25" customHeight="1">
      <c r="A483" s="33" t="s">
        <v>382</v>
      </c>
      <c r="B483" s="34" t="s">
        <v>94</v>
      </c>
      <c r="C483" s="34" t="s">
        <v>84</v>
      </c>
      <c r="D483" s="34" t="s">
        <v>374</v>
      </c>
      <c r="E483" s="35" t="s">
        <v>155</v>
      </c>
      <c r="F483" s="17"/>
      <c r="G483" s="104">
        <f aca="true" t="shared" si="38" ref="G483:G493">H483+I483+J483+K483</f>
        <v>231.89999999999998</v>
      </c>
      <c r="H483" s="103">
        <f>H484</f>
        <v>54.75</v>
      </c>
      <c r="I483" s="103">
        <f>I484</f>
        <v>54.75</v>
      </c>
      <c r="J483" s="103">
        <f>J484</f>
        <v>67.64999999999999</v>
      </c>
      <c r="K483" s="103">
        <f>K484</f>
        <v>54.75</v>
      </c>
      <c r="L483" s="70"/>
      <c r="M483" s="78"/>
    </row>
    <row r="484" spans="1:13" ht="14.25" customHeight="1">
      <c r="A484" s="13" t="s">
        <v>17</v>
      </c>
      <c r="B484" s="18" t="s">
        <v>94</v>
      </c>
      <c r="C484" s="18" t="s">
        <v>84</v>
      </c>
      <c r="D484" s="36" t="s">
        <v>374</v>
      </c>
      <c r="E484" s="37">
        <v>610</v>
      </c>
      <c r="F484" s="18" t="s">
        <v>129</v>
      </c>
      <c r="G484" s="84">
        <f t="shared" si="38"/>
        <v>231.89999999999998</v>
      </c>
      <c r="H484" s="98">
        <f>H485+H486</f>
        <v>54.75</v>
      </c>
      <c r="I484" s="98">
        <f>I485+I486</f>
        <v>54.75</v>
      </c>
      <c r="J484" s="98">
        <f>J485+J486</f>
        <v>67.64999999999999</v>
      </c>
      <c r="K484" s="98">
        <f>K485+K486</f>
        <v>54.75</v>
      </c>
      <c r="L484" s="70"/>
      <c r="M484" s="78"/>
    </row>
    <row r="485" spans="1:13" ht="14.25" customHeight="1">
      <c r="A485" s="14" t="s">
        <v>18</v>
      </c>
      <c r="B485" s="18" t="s">
        <v>94</v>
      </c>
      <c r="C485" s="18" t="s">
        <v>84</v>
      </c>
      <c r="D485" s="36" t="s">
        <v>374</v>
      </c>
      <c r="E485" s="37">
        <v>611</v>
      </c>
      <c r="F485" s="18" t="s">
        <v>130</v>
      </c>
      <c r="G485" s="98">
        <f t="shared" si="38"/>
        <v>178.11</v>
      </c>
      <c r="H485" s="98">
        <v>42.05</v>
      </c>
      <c r="I485" s="98">
        <f>51.96-9.91</f>
        <v>42.05</v>
      </c>
      <c r="J485" s="98">
        <f>42.05+9.91</f>
        <v>51.959999999999994</v>
      </c>
      <c r="K485" s="98">
        <v>42.05</v>
      </c>
      <c r="L485" s="70"/>
      <c r="M485" s="78"/>
    </row>
    <row r="486" spans="1:13" ht="15.75" customHeight="1">
      <c r="A486" s="14" t="s">
        <v>19</v>
      </c>
      <c r="B486" s="18" t="s">
        <v>94</v>
      </c>
      <c r="C486" s="18" t="s">
        <v>84</v>
      </c>
      <c r="D486" s="36" t="s">
        <v>374</v>
      </c>
      <c r="E486" s="37">
        <v>611</v>
      </c>
      <c r="F486" s="18" t="s">
        <v>132</v>
      </c>
      <c r="G486" s="98">
        <f t="shared" si="38"/>
        <v>53.78999999999999</v>
      </c>
      <c r="H486" s="84">
        <v>12.7</v>
      </c>
      <c r="I486" s="84">
        <f>15.69-2.99</f>
        <v>12.7</v>
      </c>
      <c r="J486" s="98">
        <f>12.7+2.99</f>
        <v>15.69</v>
      </c>
      <c r="K486" s="84">
        <v>12.7</v>
      </c>
      <c r="L486" s="70"/>
      <c r="M486" s="78"/>
    </row>
    <row r="487" spans="1:13" ht="72" customHeight="1">
      <c r="A487" s="33" t="s">
        <v>383</v>
      </c>
      <c r="B487" s="34" t="s">
        <v>94</v>
      </c>
      <c r="C487" s="34" t="s">
        <v>84</v>
      </c>
      <c r="D487" s="34" t="s">
        <v>374</v>
      </c>
      <c r="E487" s="35" t="s">
        <v>155</v>
      </c>
      <c r="F487" s="17"/>
      <c r="G487" s="105">
        <f t="shared" si="38"/>
        <v>30</v>
      </c>
      <c r="H487" s="104">
        <f>H488</f>
        <v>7.5</v>
      </c>
      <c r="I487" s="104">
        <f>I488</f>
        <v>7.5</v>
      </c>
      <c r="J487" s="104">
        <f>J488</f>
        <v>7.5</v>
      </c>
      <c r="K487" s="104">
        <f>K488</f>
        <v>7.5</v>
      </c>
      <c r="L487" s="70"/>
      <c r="M487" s="78"/>
    </row>
    <row r="488" spans="1:13" ht="14.25" customHeight="1">
      <c r="A488" s="13" t="s">
        <v>17</v>
      </c>
      <c r="B488" s="18" t="s">
        <v>94</v>
      </c>
      <c r="C488" s="18" t="s">
        <v>84</v>
      </c>
      <c r="D488" s="36" t="s">
        <v>374</v>
      </c>
      <c r="E488" s="37">
        <v>610</v>
      </c>
      <c r="F488" s="18" t="s">
        <v>129</v>
      </c>
      <c r="G488" s="83">
        <f t="shared" si="38"/>
        <v>30</v>
      </c>
      <c r="H488" s="84">
        <f>H489+H490</f>
        <v>7.5</v>
      </c>
      <c r="I488" s="84">
        <f>I489+I490</f>
        <v>7.5</v>
      </c>
      <c r="J488" s="84">
        <f>J489+J490</f>
        <v>7.5</v>
      </c>
      <c r="K488" s="84">
        <f>K489+K490</f>
        <v>7.5</v>
      </c>
      <c r="L488" s="70"/>
      <c r="M488" s="78"/>
    </row>
    <row r="489" spans="1:13" ht="13.5" customHeight="1">
      <c r="A489" s="14" t="s">
        <v>18</v>
      </c>
      <c r="B489" s="18" t="s">
        <v>94</v>
      </c>
      <c r="C489" s="18" t="s">
        <v>84</v>
      </c>
      <c r="D489" s="36" t="s">
        <v>374</v>
      </c>
      <c r="E489" s="37">
        <v>611</v>
      </c>
      <c r="F489" s="18" t="s">
        <v>130</v>
      </c>
      <c r="G489" s="98">
        <f t="shared" si="38"/>
        <v>23.04</v>
      </c>
      <c r="H489" s="98">
        <v>5.76</v>
      </c>
      <c r="I489" s="98">
        <v>5.76</v>
      </c>
      <c r="J489" s="98">
        <v>5.76</v>
      </c>
      <c r="K489" s="98">
        <v>5.76</v>
      </c>
      <c r="L489" s="70"/>
      <c r="M489" s="78"/>
    </row>
    <row r="490" spans="1:13" ht="15.75" customHeight="1">
      <c r="A490" s="14" t="s">
        <v>19</v>
      </c>
      <c r="B490" s="18" t="s">
        <v>94</v>
      </c>
      <c r="C490" s="18" t="s">
        <v>84</v>
      </c>
      <c r="D490" s="36" t="s">
        <v>374</v>
      </c>
      <c r="E490" s="37">
        <v>611</v>
      </c>
      <c r="F490" s="18" t="s">
        <v>132</v>
      </c>
      <c r="G490" s="98">
        <f t="shared" si="38"/>
        <v>6.96</v>
      </c>
      <c r="H490" s="98">
        <v>1.74</v>
      </c>
      <c r="I490" s="98">
        <v>1.74</v>
      </c>
      <c r="J490" s="98">
        <v>1.74</v>
      </c>
      <c r="K490" s="98">
        <v>1.74</v>
      </c>
      <c r="L490" s="70"/>
      <c r="M490" s="78"/>
    </row>
    <row r="491" spans="1:13" ht="15.75" customHeight="1">
      <c r="A491" s="38" t="s">
        <v>235</v>
      </c>
      <c r="B491" s="25" t="s">
        <v>94</v>
      </c>
      <c r="C491" s="25" t="s">
        <v>236</v>
      </c>
      <c r="D491" s="17" t="s">
        <v>182</v>
      </c>
      <c r="E491" s="39" t="s">
        <v>68</v>
      </c>
      <c r="F491" s="25"/>
      <c r="G491" s="69">
        <f t="shared" si="38"/>
        <v>6972.598069999999</v>
      </c>
      <c r="H491" s="69">
        <f>H492+H494</f>
        <v>96.25815000000001</v>
      </c>
      <c r="I491" s="69">
        <f>I492+I494</f>
        <v>713.7564399999999</v>
      </c>
      <c r="J491" s="69">
        <f>J492+J494</f>
        <v>5901.358499999999</v>
      </c>
      <c r="K491" s="69">
        <f>K492+K494</f>
        <v>261.22497999999996</v>
      </c>
      <c r="L491" s="70"/>
      <c r="M491" s="78"/>
    </row>
    <row r="492" spans="1:13" ht="14.25" customHeight="1">
      <c r="A492" s="22" t="s">
        <v>98</v>
      </c>
      <c r="B492" s="25" t="s">
        <v>94</v>
      </c>
      <c r="C492" s="25" t="s">
        <v>99</v>
      </c>
      <c r="D492" s="25" t="s">
        <v>237</v>
      </c>
      <c r="E492" s="25" t="s">
        <v>57</v>
      </c>
      <c r="F492" s="25"/>
      <c r="G492" s="69">
        <f t="shared" si="38"/>
        <v>375.19341</v>
      </c>
      <c r="H492" s="69">
        <f>H493</f>
        <v>86.81667</v>
      </c>
      <c r="I492" s="69">
        <f>I493</f>
        <v>86.81666999999999</v>
      </c>
      <c r="J492" s="69">
        <f>J493</f>
        <v>100.15602</v>
      </c>
      <c r="K492" s="69">
        <f>K493</f>
        <v>101.40405000000001</v>
      </c>
      <c r="L492" s="70"/>
      <c r="M492" s="70"/>
    </row>
    <row r="493" spans="1:13" ht="13.5" customHeight="1">
      <c r="A493" s="13" t="s">
        <v>100</v>
      </c>
      <c r="B493" s="18" t="s">
        <v>94</v>
      </c>
      <c r="C493" s="18" t="s">
        <v>99</v>
      </c>
      <c r="D493" s="18" t="s">
        <v>237</v>
      </c>
      <c r="E493" s="18" t="s">
        <v>142</v>
      </c>
      <c r="F493" s="18" t="s">
        <v>101</v>
      </c>
      <c r="G493" s="71">
        <f t="shared" si="38"/>
        <v>375.19341</v>
      </c>
      <c r="H493" s="71">
        <f>91.3-4.48333</f>
        <v>86.81667</v>
      </c>
      <c r="I493" s="71">
        <f>91.3+4.48333-8.96666</f>
        <v>86.81666999999999</v>
      </c>
      <c r="J493" s="71">
        <f>91.3+8.96666-0.11064</f>
        <v>100.15602</v>
      </c>
      <c r="K493" s="71">
        <f>91.4+0.11064+9.89341</f>
        <v>101.40405000000001</v>
      </c>
      <c r="L493" s="70"/>
      <c r="M493" s="70"/>
    </row>
    <row r="494" spans="1:13" ht="17.25" customHeight="1">
      <c r="A494" s="22" t="s">
        <v>240</v>
      </c>
      <c r="B494" s="25" t="s">
        <v>94</v>
      </c>
      <c r="C494" s="25" t="s">
        <v>85</v>
      </c>
      <c r="D494" s="17" t="s">
        <v>182</v>
      </c>
      <c r="E494" s="25" t="s">
        <v>68</v>
      </c>
      <c r="F494" s="26"/>
      <c r="G494" s="69">
        <f>H494+I494+J494+K494</f>
        <v>6597.404659999998</v>
      </c>
      <c r="H494" s="69">
        <f>H495+H504+H510+H514</f>
        <v>9.441480000000013</v>
      </c>
      <c r="I494" s="69">
        <f>I495+I504+I510+I514</f>
        <v>626.93977</v>
      </c>
      <c r="J494" s="69">
        <f>J495+J504+J510+J514</f>
        <v>5801.202479999999</v>
      </c>
      <c r="K494" s="69">
        <f>K495+K504+K510+K514</f>
        <v>159.82092999999998</v>
      </c>
      <c r="L494" s="70"/>
      <c r="M494" s="70"/>
    </row>
    <row r="495" spans="1:13" ht="55.5" customHeight="1">
      <c r="A495" s="51" t="s">
        <v>416</v>
      </c>
      <c r="B495" s="17" t="s">
        <v>94</v>
      </c>
      <c r="C495" s="17" t="s">
        <v>85</v>
      </c>
      <c r="D495" s="17" t="s">
        <v>452</v>
      </c>
      <c r="E495" s="17" t="s">
        <v>68</v>
      </c>
      <c r="F495" s="17"/>
      <c r="G495" s="75">
        <f aca="true" t="shared" si="39" ref="G495:G503">H495+I495+J495+K495</f>
        <v>5778.530809999999</v>
      </c>
      <c r="H495" s="105">
        <f>H496+H498+H500+H502</f>
        <v>0</v>
      </c>
      <c r="I495" s="105">
        <f>I496+I498+I500+I502</f>
        <v>0</v>
      </c>
      <c r="J495" s="75">
        <f>J496+J498+J500+J502</f>
        <v>5778.530809999999</v>
      </c>
      <c r="K495" s="105">
        <f>K496+K498+K500+K502</f>
        <v>0</v>
      </c>
      <c r="L495" s="77"/>
      <c r="M495" s="78"/>
    </row>
    <row r="496" spans="1:13" ht="60.75" customHeight="1">
      <c r="A496" s="45" t="s">
        <v>417</v>
      </c>
      <c r="B496" s="18" t="s">
        <v>94</v>
      </c>
      <c r="C496" s="18" t="s">
        <v>85</v>
      </c>
      <c r="D496" s="18" t="s">
        <v>446</v>
      </c>
      <c r="E496" s="20" t="s">
        <v>57</v>
      </c>
      <c r="F496" s="20"/>
      <c r="G496" s="79">
        <f t="shared" si="39"/>
        <v>5031.18244</v>
      </c>
      <c r="H496" s="81">
        <f>H497</f>
        <v>0</v>
      </c>
      <c r="I496" s="81">
        <f>I497</f>
        <v>0</v>
      </c>
      <c r="J496" s="79">
        <f>J497</f>
        <v>5031.18244</v>
      </c>
      <c r="K496" s="81">
        <f>K497</f>
        <v>0</v>
      </c>
      <c r="L496" s="77"/>
      <c r="M496" s="78"/>
    </row>
    <row r="497" spans="1:13" ht="17.25" customHeight="1">
      <c r="A497" s="29" t="s">
        <v>357</v>
      </c>
      <c r="B497" s="18" t="s">
        <v>94</v>
      </c>
      <c r="C497" s="18" t="s">
        <v>85</v>
      </c>
      <c r="D497" s="18" t="s">
        <v>446</v>
      </c>
      <c r="E497" s="18" t="s">
        <v>418</v>
      </c>
      <c r="F497" s="18" t="s">
        <v>56</v>
      </c>
      <c r="G497" s="71">
        <f t="shared" si="39"/>
        <v>5031.18244</v>
      </c>
      <c r="H497" s="83">
        <f>500-500</f>
        <v>0</v>
      </c>
      <c r="I497" s="83">
        <f>5031.18244-5031.18244</f>
        <v>0</v>
      </c>
      <c r="J497" s="71">
        <v>5031.18244</v>
      </c>
      <c r="K497" s="83">
        <v>0</v>
      </c>
      <c r="L497" s="77"/>
      <c r="M497" s="78"/>
    </row>
    <row r="498" spans="1:13" ht="64.5" customHeight="1">
      <c r="A498" s="45" t="s">
        <v>419</v>
      </c>
      <c r="B498" s="20" t="s">
        <v>94</v>
      </c>
      <c r="C498" s="20" t="s">
        <v>85</v>
      </c>
      <c r="D498" s="20" t="s">
        <v>420</v>
      </c>
      <c r="E498" s="20" t="s">
        <v>57</v>
      </c>
      <c r="F498" s="20"/>
      <c r="G498" s="79">
        <f t="shared" si="39"/>
        <v>747.34837</v>
      </c>
      <c r="H498" s="81">
        <f>H499</f>
        <v>0</v>
      </c>
      <c r="I498" s="81">
        <f>I499</f>
        <v>0</v>
      </c>
      <c r="J498" s="79">
        <f>J499</f>
        <v>747.34837</v>
      </c>
      <c r="K498" s="81">
        <f>K499</f>
        <v>0</v>
      </c>
      <c r="L498" s="77"/>
      <c r="M498" s="78"/>
    </row>
    <row r="499" spans="1:13" ht="17.25" customHeight="1">
      <c r="A499" s="13" t="s">
        <v>159</v>
      </c>
      <c r="B499" s="20" t="s">
        <v>94</v>
      </c>
      <c r="C499" s="20" t="s">
        <v>85</v>
      </c>
      <c r="D499" s="20" t="s">
        <v>420</v>
      </c>
      <c r="E499" s="20" t="s">
        <v>418</v>
      </c>
      <c r="F499" s="18" t="s">
        <v>56</v>
      </c>
      <c r="G499" s="71">
        <f t="shared" si="39"/>
        <v>747.34837</v>
      </c>
      <c r="H499" s="83">
        <f>1500-1500</f>
        <v>0</v>
      </c>
      <c r="I499" s="83">
        <f>559.02027-559.02027</f>
        <v>0</v>
      </c>
      <c r="J499" s="71">
        <v>747.34837</v>
      </c>
      <c r="K499" s="83">
        <f>1000-1000</f>
        <v>0</v>
      </c>
      <c r="L499" s="77"/>
      <c r="M499" s="78"/>
    </row>
    <row r="500" spans="1:13" ht="57" customHeight="1" hidden="1">
      <c r="A500" s="45" t="s">
        <v>417</v>
      </c>
      <c r="B500" s="18" t="s">
        <v>94</v>
      </c>
      <c r="C500" s="18" t="s">
        <v>85</v>
      </c>
      <c r="D500" s="18" t="s">
        <v>446</v>
      </c>
      <c r="E500" s="20" t="s">
        <v>151</v>
      </c>
      <c r="F500" s="20"/>
      <c r="G500" s="79">
        <f t="shared" si="39"/>
        <v>0</v>
      </c>
      <c r="H500" s="79">
        <f>H501</f>
        <v>0</v>
      </c>
      <c r="I500" s="79">
        <f>I501</f>
        <v>0</v>
      </c>
      <c r="J500" s="79">
        <f>J501</f>
        <v>0</v>
      </c>
      <c r="K500" s="79">
        <f>K501</f>
        <v>0</v>
      </c>
      <c r="L500" s="77"/>
      <c r="M500" s="78"/>
    </row>
    <row r="501" spans="1:13" ht="17.25" customHeight="1" hidden="1">
      <c r="A501" s="29" t="s">
        <v>357</v>
      </c>
      <c r="B501" s="18" t="s">
        <v>94</v>
      </c>
      <c r="C501" s="18" t="s">
        <v>85</v>
      </c>
      <c r="D501" s="18" t="s">
        <v>446</v>
      </c>
      <c r="E501" s="18" t="s">
        <v>308</v>
      </c>
      <c r="F501" s="18" t="s">
        <v>55</v>
      </c>
      <c r="G501" s="71">
        <f t="shared" si="39"/>
        <v>0</v>
      </c>
      <c r="H501" s="71">
        <f>500-500</f>
        <v>0</v>
      </c>
      <c r="I501" s="71">
        <f>5031.18244-5031.18244</f>
        <v>0</v>
      </c>
      <c r="J501" s="71">
        <f>5031.18244-5031.18244</f>
        <v>0</v>
      </c>
      <c r="K501" s="71">
        <v>0</v>
      </c>
      <c r="L501" s="77"/>
      <c r="M501" s="78"/>
    </row>
    <row r="502" spans="1:13" ht="69" customHeight="1" hidden="1">
      <c r="A502" s="45" t="s">
        <v>419</v>
      </c>
      <c r="B502" s="20" t="s">
        <v>94</v>
      </c>
      <c r="C502" s="20" t="s">
        <v>85</v>
      </c>
      <c r="D502" s="20" t="s">
        <v>420</v>
      </c>
      <c r="E502" s="20" t="s">
        <v>151</v>
      </c>
      <c r="F502" s="20"/>
      <c r="G502" s="79">
        <f t="shared" si="39"/>
        <v>0</v>
      </c>
      <c r="H502" s="79">
        <f>H503</f>
        <v>0</v>
      </c>
      <c r="I502" s="79">
        <f>I503</f>
        <v>0</v>
      </c>
      <c r="J502" s="79">
        <f>J503</f>
        <v>0</v>
      </c>
      <c r="K502" s="79">
        <f>K503</f>
        <v>0</v>
      </c>
      <c r="L502" s="77"/>
      <c r="M502" s="78"/>
    </row>
    <row r="503" spans="1:13" ht="17.25" customHeight="1" hidden="1">
      <c r="A503" s="13" t="s">
        <v>159</v>
      </c>
      <c r="B503" s="20" t="s">
        <v>94</v>
      </c>
      <c r="C503" s="20" t="s">
        <v>85</v>
      </c>
      <c r="D503" s="20" t="s">
        <v>420</v>
      </c>
      <c r="E503" s="20" t="s">
        <v>308</v>
      </c>
      <c r="F503" s="18" t="s">
        <v>55</v>
      </c>
      <c r="G503" s="71">
        <f t="shared" si="39"/>
        <v>0</v>
      </c>
      <c r="H503" s="71">
        <f>1500-1500</f>
        <v>0</v>
      </c>
      <c r="I503" s="71">
        <f>559.02027-559.02027</f>
        <v>0</v>
      </c>
      <c r="J503" s="71">
        <f>559.02027+188.3281-747.34837</f>
        <v>0</v>
      </c>
      <c r="K503" s="71">
        <v>0</v>
      </c>
      <c r="L503" s="77"/>
      <c r="M503" s="78"/>
    </row>
    <row r="504" spans="1:13" ht="51" customHeight="1">
      <c r="A504" s="27" t="s">
        <v>360</v>
      </c>
      <c r="B504" s="18" t="s">
        <v>94</v>
      </c>
      <c r="C504" s="18" t="s">
        <v>85</v>
      </c>
      <c r="D504" s="18" t="s">
        <v>358</v>
      </c>
      <c r="E504" s="26" t="s">
        <v>359</v>
      </c>
      <c r="F504" s="26"/>
      <c r="G504" s="75">
        <f>G505</f>
        <v>53.861849999999976</v>
      </c>
      <c r="H504" s="75">
        <f>H505</f>
        <v>9.441480000000013</v>
      </c>
      <c r="I504" s="75">
        <f>I505</f>
        <v>9.347769999999969</v>
      </c>
      <c r="J504" s="75">
        <f>J505</f>
        <v>22.671670000000006</v>
      </c>
      <c r="K504" s="75">
        <f>K505</f>
        <v>12.400929999999988</v>
      </c>
      <c r="L504" s="70"/>
      <c r="M504" s="70"/>
    </row>
    <row r="505" spans="1:13" ht="17.25" customHeight="1">
      <c r="A505" s="29" t="s">
        <v>357</v>
      </c>
      <c r="B505" s="18" t="s">
        <v>94</v>
      </c>
      <c r="C505" s="18" t="s">
        <v>85</v>
      </c>
      <c r="D505" s="18" t="s">
        <v>358</v>
      </c>
      <c r="E505" s="26" t="s">
        <v>142</v>
      </c>
      <c r="F505" s="26" t="s">
        <v>56</v>
      </c>
      <c r="G505" s="71">
        <f>H505+I505+J505+K505</f>
        <v>53.861849999999976</v>
      </c>
      <c r="H505" s="71">
        <f>271.7-262.25852</f>
        <v>9.441480000000013</v>
      </c>
      <c r="I505" s="71">
        <f>262.25852-252.91075</f>
        <v>9.347769999999969</v>
      </c>
      <c r="J505" s="71">
        <f>252.91075-230.23908</f>
        <v>22.671670000000006</v>
      </c>
      <c r="K505" s="71">
        <f>230.23908-217.83815</f>
        <v>12.400929999999988</v>
      </c>
      <c r="L505" s="70"/>
      <c r="M505" s="70"/>
    </row>
    <row r="506" spans="1:13" ht="45.75" customHeight="1" hidden="1">
      <c r="A506" s="27" t="s">
        <v>238</v>
      </c>
      <c r="B506" s="17" t="s">
        <v>94</v>
      </c>
      <c r="C506" s="17" t="s">
        <v>85</v>
      </c>
      <c r="D506" s="17" t="s">
        <v>239</v>
      </c>
      <c r="E506" s="17" t="s">
        <v>42</v>
      </c>
      <c r="F506" s="17"/>
      <c r="G506" s="75">
        <f>G507</f>
        <v>0</v>
      </c>
      <c r="H506" s="75">
        <f>H507</f>
        <v>0</v>
      </c>
      <c r="I506" s="75">
        <f>I507</f>
        <v>0</v>
      </c>
      <c r="J506" s="75">
        <f>J507</f>
        <v>0</v>
      </c>
      <c r="K506" s="75">
        <f>K507</f>
        <v>0</v>
      </c>
      <c r="L506" s="70"/>
      <c r="M506" s="70"/>
    </row>
    <row r="507" spans="1:13" ht="17.25" customHeight="1" hidden="1">
      <c r="A507" s="13" t="s">
        <v>156</v>
      </c>
      <c r="B507" s="18" t="s">
        <v>94</v>
      </c>
      <c r="C507" s="18" t="s">
        <v>85</v>
      </c>
      <c r="D507" s="18" t="s">
        <v>239</v>
      </c>
      <c r="E507" s="18" t="s">
        <v>157</v>
      </c>
      <c r="F507" s="18" t="s">
        <v>86</v>
      </c>
      <c r="G507" s="71">
        <f>H507+I507+J507+K507</f>
        <v>0</v>
      </c>
      <c r="H507" s="71">
        <v>0</v>
      </c>
      <c r="I507" s="71">
        <v>0</v>
      </c>
      <c r="J507" s="71">
        <v>0</v>
      </c>
      <c r="K507" s="71">
        <v>0</v>
      </c>
      <c r="L507" s="70"/>
      <c r="M507" s="70"/>
    </row>
    <row r="508" spans="1:13" ht="46.5" customHeight="1" hidden="1">
      <c r="A508" s="27" t="s">
        <v>238</v>
      </c>
      <c r="B508" s="17" t="s">
        <v>94</v>
      </c>
      <c r="C508" s="17" t="s">
        <v>85</v>
      </c>
      <c r="D508" s="17" t="s">
        <v>345</v>
      </c>
      <c r="E508" s="17" t="s">
        <v>42</v>
      </c>
      <c r="F508" s="17"/>
      <c r="G508" s="75">
        <f>G509</f>
        <v>0</v>
      </c>
      <c r="H508" s="75">
        <f>H509</f>
        <v>0</v>
      </c>
      <c r="I508" s="75">
        <f>I509</f>
        <v>0</v>
      </c>
      <c r="J508" s="75">
        <f>J509</f>
        <v>0</v>
      </c>
      <c r="K508" s="75">
        <f>K509</f>
        <v>0</v>
      </c>
      <c r="L508" s="70"/>
      <c r="M508" s="70"/>
    </row>
    <row r="509" spans="1:13" ht="14.25" customHeight="1" hidden="1">
      <c r="A509" s="13" t="s">
        <v>156</v>
      </c>
      <c r="B509" s="18" t="s">
        <v>94</v>
      </c>
      <c r="C509" s="18" t="s">
        <v>85</v>
      </c>
      <c r="D509" s="17" t="s">
        <v>345</v>
      </c>
      <c r="E509" s="18" t="s">
        <v>157</v>
      </c>
      <c r="F509" s="18" t="s">
        <v>86</v>
      </c>
      <c r="G509" s="71">
        <f>H509+I509+J509+K509</f>
        <v>0</v>
      </c>
      <c r="H509" s="71">
        <v>0</v>
      </c>
      <c r="I509" s="71">
        <v>0</v>
      </c>
      <c r="J509" s="71">
        <f>617.6-617.6</f>
        <v>0</v>
      </c>
      <c r="K509" s="71">
        <v>0</v>
      </c>
      <c r="L509" s="70"/>
      <c r="M509" s="70"/>
    </row>
    <row r="510" spans="1:13" ht="78" customHeight="1">
      <c r="A510" s="27" t="s">
        <v>238</v>
      </c>
      <c r="B510" s="17" t="s">
        <v>94</v>
      </c>
      <c r="C510" s="17" t="s">
        <v>85</v>
      </c>
      <c r="D510" s="17" t="s">
        <v>415</v>
      </c>
      <c r="E510" s="17" t="s">
        <v>42</v>
      </c>
      <c r="F510" s="17"/>
      <c r="G510" s="101">
        <f>G511</f>
        <v>617.592</v>
      </c>
      <c r="H510" s="105">
        <f>H511</f>
        <v>0</v>
      </c>
      <c r="I510" s="101">
        <f>I511</f>
        <v>617.592</v>
      </c>
      <c r="J510" s="105">
        <f>J511</f>
        <v>0</v>
      </c>
      <c r="K510" s="105">
        <f>K511</f>
        <v>0</v>
      </c>
      <c r="L510" s="70"/>
      <c r="M510" s="70"/>
    </row>
    <row r="511" spans="1:13" ht="14.25" customHeight="1">
      <c r="A511" s="13" t="s">
        <v>156</v>
      </c>
      <c r="B511" s="18" t="s">
        <v>94</v>
      </c>
      <c r="C511" s="18" t="s">
        <v>85</v>
      </c>
      <c r="D511" s="17" t="s">
        <v>415</v>
      </c>
      <c r="E511" s="18" t="s">
        <v>157</v>
      </c>
      <c r="F511" s="18" t="s">
        <v>86</v>
      </c>
      <c r="G511" s="97">
        <f>H511+I511+J511+K511</f>
        <v>617.592</v>
      </c>
      <c r="H511" s="83">
        <v>0</v>
      </c>
      <c r="I511" s="97">
        <f>617.6-0.008</f>
        <v>617.592</v>
      </c>
      <c r="J511" s="83">
        <f>0.008-0.008</f>
        <v>0</v>
      </c>
      <c r="K511" s="83">
        <v>0</v>
      </c>
      <c r="L511" s="70"/>
      <c r="M511" s="70"/>
    </row>
    <row r="512" spans="1:13" ht="47.25" customHeight="1" hidden="1">
      <c r="A512" s="27" t="s">
        <v>291</v>
      </c>
      <c r="B512" s="17" t="s">
        <v>94</v>
      </c>
      <c r="C512" s="17" t="s">
        <v>85</v>
      </c>
      <c r="D512" s="17" t="s">
        <v>292</v>
      </c>
      <c r="E512" s="17" t="s">
        <v>42</v>
      </c>
      <c r="F512" s="17"/>
      <c r="G512" s="75">
        <f>G513</f>
        <v>0</v>
      </c>
      <c r="H512" s="75">
        <f>H513</f>
        <v>0</v>
      </c>
      <c r="I512" s="75">
        <f>I513</f>
        <v>0</v>
      </c>
      <c r="J512" s="75">
        <f>J513</f>
        <v>0</v>
      </c>
      <c r="K512" s="75">
        <f>K513</f>
        <v>0</v>
      </c>
      <c r="L512" s="70"/>
      <c r="M512" s="70"/>
    </row>
    <row r="513" spans="1:13" ht="14.25" customHeight="1" hidden="1">
      <c r="A513" s="13" t="s">
        <v>156</v>
      </c>
      <c r="B513" s="18" t="s">
        <v>94</v>
      </c>
      <c r="C513" s="18" t="s">
        <v>85</v>
      </c>
      <c r="D513" s="18" t="s">
        <v>292</v>
      </c>
      <c r="E513" s="18" t="s">
        <v>157</v>
      </c>
      <c r="F513" s="18" t="s">
        <v>86</v>
      </c>
      <c r="G513" s="71">
        <f>H513+I513+J513+K513</f>
        <v>0</v>
      </c>
      <c r="H513" s="71">
        <v>0</v>
      </c>
      <c r="I513" s="71">
        <v>0</v>
      </c>
      <c r="J513" s="71">
        <v>0</v>
      </c>
      <c r="K513" s="71">
        <v>0</v>
      </c>
      <c r="L513" s="70"/>
      <c r="M513" s="70"/>
    </row>
    <row r="514" spans="1:13" ht="72.75" customHeight="1">
      <c r="A514" s="27" t="s">
        <v>291</v>
      </c>
      <c r="B514" s="17" t="s">
        <v>94</v>
      </c>
      <c r="C514" s="17" t="s">
        <v>85</v>
      </c>
      <c r="D514" s="17" t="s">
        <v>346</v>
      </c>
      <c r="E514" s="17" t="s">
        <v>42</v>
      </c>
      <c r="F514" s="17"/>
      <c r="G514" s="103">
        <f>G515</f>
        <v>147.42</v>
      </c>
      <c r="H514" s="105">
        <f>H515</f>
        <v>0</v>
      </c>
      <c r="I514" s="105">
        <f>I515</f>
        <v>0</v>
      </c>
      <c r="J514" s="105">
        <f>J515</f>
        <v>0</v>
      </c>
      <c r="K514" s="103">
        <f>K515</f>
        <v>147.42</v>
      </c>
      <c r="L514" s="70"/>
      <c r="M514" s="70"/>
    </row>
    <row r="515" spans="1:13" ht="14.25" customHeight="1">
      <c r="A515" s="13" t="s">
        <v>156</v>
      </c>
      <c r="B515" s="18" t="s">
        <v>94</v>
      </c>
      <c r="C515" s="18" t="s">
        <v>85</v>
      </c>
      <c r="D515" s="18" t="s">
        <v>346</v>
      </c>
      <c r="E515" s="18" t="s">
        <v>157</v>
      </c>
      <c r="F515" s="18" t="s">
        <v>86</v>
      </c>
      <c r="G515" s="98">
        <f>H515+I515+J515+K515</f>
        <v>147.42</v>
      </c>
      <c r="H515" s="83">
        <v>0</v>
      </c>
      <c r="I515" s="83">
        <v>0</v>
      </c>
      <c r="J515" s="83">
        <f>122.9+24.52-147.42</f>
        <v>0</v>
      </c>
      <c r="K515" s="98">
        <v>147.42</v>
      </c>
      <c r="L515" s="70"/>
      <c r="M515" s="70"/>
    </row>
    <row r="516" spans="1:13" ht="32.25" customHeight="1" hidden="1">
      <c r="A516" s="40" t="s">
        <v>241</v>
      </c>
      <c r="B516" s="25" t="s">
        <v>94</v>
      </c>
      <c r="C516" s="25" t="s">
        <v>242</v>
      </c>
      <c r="D516" s="17" t="s">
        <v>182</v>
      </c>
      <c r="E516" s="25" t="s">
        <v>68</v>
      </c>
      <c r="F516" s="25"/>
      <c r="G516" s="69">
        <f>H516+I516+J516+K516</f>
        <v>0</v>
      </c>
      <c r="H516" s="69">
        <f>H517+H522</f>
        <v>0</v>
      </c>
      <c r="I516" s="69">
        <f>I517+I522</f>
        <v>0</v>
      </c>
      <c r="J516" s="69">
        <f>J517+J522</f>
        <v>0</v>
      </c>
      <c r="K516" s="69">
        <f>K517+K522</f>
        <v>0</v>
      </c>
      <c r="L516" s="70"/>
      <c r="M516" s="70"/>
    </row>
    <row r="517" spans="1:13" ht="24" customHeight="1" hidden="1">
      <c r="A517" s="16" t="s">
        <v>301</v>
      </c>
      <c r="B517" s="17" t="s">
        <v>94</v>
      </c>
      <c r="C517" s="17" t="s">
        <v>242</v>
      </c>
      <c r="D517" s="17" t="s">
        <v>243</v>
      </c>
      <c r="E517" s="17" t="s">
        <v>148</v>
      </c>
      <c r="F517" s="17"/>
      <c r="G517" s="75">
        <f aca="true" t="shared" si="40" ref="G517:G530">H517+I517+J517+K517</f>
        <v>0</v>
      </c>
      <c r="H517" s="75">
        <f>H519+H521</f>
        <v>0</v>
      </c>
      <c r="I517" s="75">
        <f>I519+I521</f>
        <v>0</v>
      </c>
      <c r="J517" s="75">
        <f>J519+J521</f>
        <v>0</v>
      </c>
      <c r="K517" s="75">
        <f>K519+K521</f>
        <v>0</v>
      </c>
      <c r="L517" s="70"/>
      <c r="M517" s="70"/>
    </row>
    <row r="518" spans="1:13" ht="15" customHeight="1" hidden="1">
      <c r="A518" s="21" t="s">
        <v>244</v>
      </c>
      <c r="B518" s="20" t="s">
        <v>94</v>
      </c>
      <c r="C518" s="20" t="s">
        <v>242</v>
      </c>
      <c r="D518" s="20" t="s">
        <v>246</v>
      </c>
      <c r="E518" s="20" t="s">
        <v>115</v>
      </c>
      <c r="F518" s="20" t="s">
        <v>55</v>
      </c>
      <c r="G518" s="79">
        <f>H518+I518+J518+K518</f>
        <v>0</v>
      </c>
      <c r="H518" s="79">
        <f>H519</f>
        <v>0</v>
      </c>
      <c r="I518" s="79">
        <f>I519</f>
        <v>0</v>
      </c>
      <c r="J518" s="79">
        <f>J519</f>
        <v>0</v>
      </c>
      <c r="K518" s="79">
        <f>K519</f>
        <v>0</v>
      </c>
      <c r="L518" s="70"/>
      <c r="M518" s="70"/>
    </row>
    <row r="519" spans="1:13" ht="15" customHeight="1" hidden="1">
      <c r="A519" s="13" t="s">
        <v>33</v>
      </c>
      <c r="B519" s="18" t="s">
        <v>94</v>
      </c>
      <c r="C519" s="18" t="s">
        <v>242</v>
      </c>
      <c r="D519" s="18" t="s">
        <v>246</v>
      </c>
      <c r="E519" s="18" t="s">
        <v>115</v>
      </c>
      <c r="F519" s="18" t="s">
        <v>55</v>
      </c>
      <c r="G519" s="71">
        <f t="shared" si="40"/>
        <v>0</v>
      </c>
      <c r="H519" s="71">
        <v>0</v>
      </c>
      <c r="I519" s="71">
        <v>0</v>
      </c>
      <c r="J519" s="71">
        <v>0</v>
      </c>
      <c r="K519" s="71">
        <v>0</v>
      </c>
      <c r="L519" s="70"/>
      <c r="M519" s="78"/>
    </row>
    <row r="520" spans="1:13" ht="37.5" customHeight="1" hidden="1">
      <c r="A520" s="21" t="s">
        <v>293</v>
      </c>
      <c r="B520" s="20" t="s">
        <v>94</v>
      </c>
      <c r="C520" s="20" t="s">
        <v>242</v>
      </c>
      <c r="D520" s="20" t="s">
        <v>294</v>
      </c>
      <c r="E520" s="20" t="s">
        <v>115</v>
      </c>
      <c r="F520" s="20"/>
      <c r="G520" s="79">
        <f>H520+I520+J520+K520</f>
        <v>0</v>
      </c>
      <c r="H520" s="79">
        <f>H521</f>
        <v>0</v>
      </c>
      <c r="I520" s="79">
        <f>I521</f>
        <v>0</v>
      </c>
      <c r="J520" s="79">
        <f>J521</f>
        <v>0</v>
      </c>
      <c r="K520" s="79">
        <f>K521</f>
        <v>0</v>
      </c>
      <c r="L520" s="70"/>
      <c r="M520" s="78"/>
    </row>
    <row r="521" spans="1:13" ht="15" customHeight="1" hidden="1">
      <c r="A521" s="13" t="s">
        <v>32</v>
      </c>
      <c r="B521" s="18" t="s">
        <v>94</v>
      </c>
      <c r="C521" s="18" t="s">
        <v>242</v>
      </c>
      <c r="D521" s="18" t="s">
        <v>294</v>
      </c>
      <c r="E521" s="18" t="s">
        <v>115</v>
      </c>
      <c r="F521" s="18" t="s">
        <v>54</v>
      </c>
      <c r="G521" s="71">
        <f>H521+I521+J521+K521</f>
        <v>0</v>
      </c>
      <c r="H521" s="71">
        <v>0</v>
      </c>
      <c r="I521" s="71">
        <v>0</v>
      </c>
      <c r="J521" s="71">
        <v>0</v>
      </c>
      <c r="K521" s="71">
        <v>0</v>
      </c>
      <c r="L521" s="70"/>
      <c r="M521" s="78"/>
    </row>
    <row r="522" spans="1:13" ht="26.25" customHeight="1" hidden="1">
      <c r="A522" s="16" t="s">
        <v>302</v>
      </c>
      <c r="B522" s="17" t="s">
        <v>94</v>
      </c>
      <c r="C522" s="17" t="s">
        <v>242</v>
      </c>
      <c r="D522" s="17" t="s">
        <v>245</v>
      </c>
      <c r="E522" s="17" t="s">
        <v>148</v>
      </c>
      <c r="F522" s="17"/>
      <c r="G522" s="75">
        <f t="shared" si="40"/>
        <v>0</v>
      </c>
      <c r="H522" s="75">
        <f>H523</f>
        <v>0</v>
      </c>
      <c r="I522" s="75">
        <f>I523</f>
        <v>0</v>
      </c>
      <c r="J522" s="75">
        <f>J523</f>
        <v>0</v>
      </c>
      <c r="K522" s="75">
        <f>K523</f>
        <v>0</v>
      </c>
      <c r="L522" s="70"/>
      <c r="M522" s="70"/>
    </row>
    <row r="523" spans="1:13" ht="23.25" customHeight="1" hidden="1">
      <c r="A523" s="21" t="s">
        <v>247</v>
      </c>
      <c r="B523" s="20" t="s">
        <v>94</v>
      </c>
      <c r="C523" s="20" t="s">
        <v>242</v>
      </c>
      <c r="D523" s="20" t="s">
        <v>248</v>
      </c>
      <c r="E523" s="20" t="s">
        <v>116</v>
      </c>
      <c r="F523" s="41"/>
      <c r="G523" s="85">
        <f>H523+I523+J523+K523</f>
        <v>0</v>
      </c>
      <c r="H523" s="85">
        <f>H524+H525</f>
        <v>0</v>
      </c>
      <c r="I523" s="85">
        <f>I524+I525</f>
        <v>0</v>
      </c>
      <c r="J523" s="85">
        <f>J524+J525</f>
        <v>0</v>
      </c>
      <c r="K523" s="85">
        <f>K524+K525</f>
        <v>0</v>
      </c>
      <c r="L523" s="70"/>
      <c r="M523" s="78"/>
    </row>
    <row r="524" spans="1:13" ht="12" customHeight="1" hidden="1">
      <c r="A524" s="13" t="s">
        <v>33</v>
      </c>
      <c r="B524" s="18" t="s">
        <v>94</v>
      </c>
      <c r="C524" s="18" t="s">
        <v>242</v>
      </c>
      <c r="D524" s="18" t="s">
        <v>248</v>
      </c>
      <c r="E524" s="18" t="s">
        <v>115</v>
      </c>
      <c r="F524" s="18" t="s">
        <v>55</v>
      </c>
      <c r="G524" s="71">
        <f t="shared" si="40"/>
        <v>0</v>
      </c>
      <c r="H524" s="71">
        <v>0</v>
      </c>
      <c r="I524" s="71">
        <v>0</v>
      </c>
      <c r="J524" s="71">
        <v>0</v>
      </c>
      <c r="K524" s="71">
        <v>0</v>
      </c>
      <c r="L524" s="70"/>
      <c r="M524" s="70"/>
    </row>
    <row r="525" spans="1:13" ht="12" customHeight="1" hidden="1">
      <c r="A525" s="13" t="s">
        <v>36</v>
      </c>
      <c r="B525" s="18" t="s">
        <v>94</v>
      </c>
      <c r="C525" s="18" t="s">
        <v>242</v>
      </c>
      <c r="D525" s="18" t="s">
        <v>248</v>
      </c>
      <c r="E525" s="18" t="s">
        <v>115</v>
      </c>
      <c r="F525" s="18" t="s">
        <v>58</v>
      </c>
      <c r="G525" s="71">
        <f>H525+I525+J525+K525</f>
        <v>0</v>
      </c>
      <c r="H525" s="71">
        <v>0</v>
      </c>
      <c r="I525" s="71">
        <v>0</v>
      </c>
      <c r="J525" s="71">
        <v>0</v>
      </c>
      <c r="K525" s="71">
        <v>0</v>
      </c>
      <c r="L525" s="70"/>
      <c r="M525" s="70"/>
    </row>
    <row r="526" spans="1:13" ht="17.25" customHeight="1">
      <c r="A526" s="38" t="s">
        <v>250</v>
      </c>
      <c r="B526" s="17" t="s">
        <v>94</v>
      </c>
      <c r="C526" s="17" t="s">
        <v>251</v>
      </c>
      <c r="D526" s="17" t="s">
        <v>182</v>
      </c>
      <c r="E526" s="25" t="s">
        <v>68</v>
      </c>
      <c r="F526" s="25"/>
      <c r="G526" s="69">
        <f>H526+I526+J526+K526</f>
        <v>6885.36076</v>
      </c>
      <c r="H526" s="69">
        <f>H527+H561</f>
        <v>1388.3896499999998</v>
      </c>
      <c r="I526" s="69">
        <f>I527+I561</f>
        <v>2246.37807</v>
      </c>
      <c r="J526" s="69">
        <f>J527+J561</f>
        <v>977.26646</v>
      </c>
      <c r="K526" s="69">
        <f>K527+K561</f>
        <v>2273.3265799999995</v>
      </c>
      <c r="L526" s="70"/>
      <c r="M526" s="70"/>
    </row>
    <row r="527" spans="1:13" ht="25.5" customHeight="1">
      <c r="A527" s="16" t="s">
        <v>387</v>
      </c>
      <c r="B527" s="17" t="s">
        <v>94</v>
      </c>
      <c r="C527" s="17" t="s">
        <v>107</v>
      </c>
      <c r="D527" s="17" t="s">
        <v>249</v>
      </c>
      <c r="E527" s="17" t="s">
        <v>155</v>
      </c>
      <c r="F527" s="17"/>
      <c r="G527" s="75">
        <f t="shared" si="40"/>
        <v>6748.36076</v>
      </c>
      <c r="H527" s="75">
        <f>H528+H550+H556+H552+H559</f>
        <v>1377.31965</v>
      </c>
      <c r="I527" s="75">
        <f>I528+I550+I556+I552+I559</f>
        <v>2190.40997</v>
      </c>
      <c r="J527" s="75">
        <f>J528+J550+J556+J552+J559</f>
        <v>935.26646</v>
      </c>
      <c r="K527" s="75">
        <f>K528+K550+K556+K552+K559</f>
        <v>2245.3646799999997</v>
      </c>
      <c r="L527" s="70"/>
      <c r="M527" s="70"/>
    </row>
    <row r="528" spans="1:13" ht="51.75" customHeight="1">
      <c r="A528" s="21" t="s">
        <v>254</v>
      </c>
      <c r="B528" s="20" t="s">
        <v>94</v>
      </c>
      <c r="C528" s="20" t="s">
        <v>107</v>
      </c>
      <c r="D528" s="20" t="s">
        <v>255</v>
      </c>
      <c r="E528" s="20" t="s">
        <v>127</v>
      </c>
      <c r="F528" s="20" t="s">
        <v>74</v>
      </c>
      <c r="G528" s="79">
        <f t="shared" si="40"/>
        <v>5973.96076</v>
      </c>
      <c r="H528" s="79">
        <f>H529+H533+H546+H548+H547+H549</f>
        <v>1377.31965</v>
      </c>
      <c r="I528" s="79">
        <f>I529+I533+I546+I548+I547+I549</f>
        <v>2168.60997</v>
      </c>
      <c r="J528" s="79">
        <f>J529+J533+J546+J548+J547+J549</f>
        <v>769.88646</v>
      </c>
      <c r="K528" s="79">
        <f>K529+K533+K546+K548+K547+K549</f>
        <v>1658.1446799999999</v>
      </c>
      <c r="L528" s="70"/>
      <c r="M528" s="70"/>
    </row>
    <row r="529" spans="1:13" ht="14.25" customHeight="1">
      <c r="A529" s="13" t="s">
        <v>17</v>
      </c>
      <c r="B529" s="18" t="s">
        <v>94</v>
      </c>
      <c r="C529" s="18" t="s">
        <v>107</v>
      </c>
      <c r="D529" s="18" t="s">
        <v>255</v>
      </c>
      <c r="E529" s="18" t="s">
        <v>110</v>
      </c>
      <c r="F529" s="18" t="s">
        <v>129</v>
      </c>
      <c r="G529" s="71">
        <f t="shared" si="40"/>
        <v>3195.03136</v>
      </c>
      <c r="H529" s="79">
        <f>H530+H532</f>
        <v>571.28357</v>
      </c>
      <c r="I529" s="79">
        <f>I530+I532</f>
        <v>1046.28018</v>
      </c>
      <c r="J529" s="79">
        <f>J530+J532</f>
        <v>667.99184</v>
      </c>
      <c r="K529" s="79">
        <f>K530+K532</f>
        <v>909.47577</v>
      </c>
      <c r="L529" s="70"/>
      <c r="M529" s="70"/>
    </row>
    <row r="530" spans="1:13" ht="15" customHeight="1">
      <c r="A530" s="14" t="s">
        <v>18</v>
      </c>
      <c r="B530" s="18" t="s">
        <v>94</v>
      </c>
      <c r="C530" s="18" t="s">
        <v>107</v>
      </c>
      <c r="D530" s="18" t="s">
        <v>255</v>
      </c>
      <c r="E530" s="18" t="s">
        <v>110</v>
      </c>
      <c r="F530" s="18" t="s">
        <v>130</v>
      </c>
      <c r="G530" s="71">
        <f t="shared" si="40"/>
        <v>2454.15595</v>
      </c>
      <c r="H530" s="71">
        <f>648.75-202.78571</f>
        <v>445.96429</v>
      </c>
      <c r="I530" s="71">
        <f>548.7+202.78571+45.13545</f>
        <v>796.62116</v>
      </c>
      <c r="J530" s="71">
        <v>513.05046</v>
      </c>
      <c r="K530" s="71">
        <f>630.70409-15.12364+6.72639+76.2132</f>
        <v>698.52004</v>
      </c>
      <c r="L530" s="70"/>
      <c r="M530" s="70"/>
    </row>
    <row r="531" spans="1:13" ht="13.5" customHeight="1">
      <c r="A531" s="14" t="s">
        <v>19</v>
      </c>
      <c r="B531" s="18" t="s">
        <v>94</v>
      </c>
      <c r="C531" s="18" t="s">
        <v>107</v>
      </c>
      <c r="D531" s="18" t="s">
        <v>255</v>
      </c>
      <c r="E531" s="18" t="s">
        <v>110</v>
      </c>
      <c r="F531" s="18" t="s">
        <v>131</v>
      </c>
      <c r="G531" s="71"/>
      <c r="H531" s="71"/>
      <c r="I531" s="71"/>
      <c r="J531" s="71"/>
      <c r="K531" s="71"/>
      <c r="L531" s="70"/>
      <c r="M531" s="70"/>
    </row>
    <row r="532" spans="1:13" ht="13.5" customHeight="1">
      <c r="A532" s="14" t="s">
        <v>20</v>
      </c>
      <c r="B532" s="18" t="s">
        <v>94</v>
      </c>
      <c r="C532" s="18" t="s">
        <v>107</v>
      </c>
      <c r="D532" s="18" t="s">
        <v>255</v>
      </c>
      <c r="E532" s="18" t="s">
        <v>110</v>
      </c>
      <c r="F532" s="18" t="s">
        <v>132</v>
      </c>
      <c r="G532" s="71">
        <f>H532+I532+J532+K532</f>
        <v>740.87541</v>
      </c>
      <c r="H532" s="71">
        <f>168.25-42.93072</f>
        <v>125.31927999999999</v>
      </c>
      <c r="I532" s="71">
        <f>165.7+42.93072+41.0283</f>
        <v>249.65902</v>
      </c>
      <c r="J532" s="71">
        <v>154.94138</v>
      </c>
      <c r="K532" s="71">
        <f>123.34297+15.12364+2.03137+70.45775</f>
        <v>210.95573000000002</v>
      </c>
      <c r="L532" s="70"/>
      <c r="M532" s="70"/>
    </row>
    <row r="533" spans="1:13" ht="15" customHeight="1">
      <c r="A533" s="14" t="s">
        <v>21</v>
      </c>
      <c r="B533" s="18" t="s">
        <v>94</v>
      </c>
      <c r="C533" s="18" t="s">
        <v>107</v>
      </c>
      <c r="D533" s="18" t="s">
        <v>255</v>
      </c>
      <c r="E533" s="18" t="s">
        <v>110</v>
      </c>
      <c r="F533" s="18" t="s">
        <v>133</v>
      </c>
      <c r="G533" s="71">
        <f>H533+I533+J533+K533</f>
        <v>1034.8800500000002</v>
      </c>
      <c r="H533" s="71">
        <f>H535+H536+H541+H544</f>
        <v>227.27008</v>
      </c>
      <c r="I533" s="71">
        <f>I535+I536+I541+I544</f>
        <v>353.87844000000007</v>
      </c>
      <c r="J533" s="71">
        <f>J535+J536+J541+J544</f>
        <v>101.89462</v>
      </c>
      <c r="K533" s="71">
        <f>K535+K536+K541+K544</f>
        <v>351.83691</v>
      </c>
      <c r="L533" s="70"/>
      <c r="M533" s="70"/>
    </row>
    <row r="534" spans="1:13" ht="15" customHeight="1" hidden="1">
      <c r="A534" s="14" t="s">
        <v>22</v>
      </c>
      <c r="B534" s="18" t="s">
        <v>94</v>
      </c>
      <c r="C534" s="18" t="s">
        <v>107</v>
      </c>
      <c r="D534" s="18" t="s">
        <v>255</v>
      </c>
      <c r="E534" s="18" t="s">
        <v>110</v>
      </c>
      <c r="F534" s="18" t="s">
        <v>134</v>
      </c>
      <c r="G534" s="71"/>
      <c r="H534" s="71"/>
      <c r="I534" s="71"/>
      <c r="J534" s="71"/>
      <c r="K534" s="71"/>
      <c r="L534" s="70"/>
      <c r="M534" s="70"/>
    </row>
    <row r="535" spans="1:13" ht="13.5" customHeight="1">
      <c r="A535" s="14" t="s">
        <v>23</v>
      </c>
      <c r="B535" s="18" t="s">
        <v>94</v>
      </c>
      <c r="C535" s="18" t="s">
        <v>107</v>
      </c>
      <c r="D535" s="18" t="s">
        <v>255</v>
      </c>
      <c r="E535" s="18" t="s">
        <v>110</v>
      </c>
      <c r="F535" s="18" t="s">
        <v>135</v>
      </c>
      <c r="G535" s="84">
        <f>I535+J535+K535+H535</f>
        <v>35.50000000000001</v>
      </c>
      <c r="H535" s="84">
        <f>33.95-29.45</f>
        <v>4.5000000000000036</v>
      </c>
      <c r="I535" s="83">
        <f>33.95+29.45-63.4</f>
        <v>0</v>
      </c>
      <c r="J535" s="83">
        <f>33.95+63.4-73.35</f>
        <v>24</v>
      </c>
      <c r="K535" s="83">
        <f>33.95-26.65-0.3</f>
        <v>7.000000000000004</v>
      </c>
      <c r="L535" s="70"/>
      <c r="M535" s="70"/>
    </row>
    <row r="536" spans="1:13" ht="13.5" customHeight="1">
      <c r="A536" s="14" t="s">
        <v>24</v>
      </c>
      <c r="B536" s="18" t="s">
        <v>94</v>
      </c>
      <c r="C536" s="18" t="s">
        <v>107</v>
      </c>
      <c r="D536" s="18" t="s">
        <v>255</v>
      </c>
      <c r="E536" s="18" t="s">
        <v>110</v>
      </c>
      <c r="F536" s="18" t="s">
        <v>136</v>
      </c>
      <c r="G536" s="71">
        <f>H536+I536+J536+K536</f>
        <v>403.56463</v>
      </c>
      <c r="H536" s="94">
        <f>H538+H539+H540</f>
        <v>207.5892</v>
      </c>
      <c r="I536" s="71">
        <f>I538+I539+I540</f>
        <v>64.12712</v>
      </c>
      <c r="J536" s="71">
        <f>J538+J539+J540</f>
        <v>28.564560000000007</v>
      </c>
      <c r="K536" s="71">
        <f>K538+K539+K540</f>
        <v>103.28375</v>
      </c>
      <c r="L536" s="70"/>
      <c r="M536" s="70"/>
    </row>
    <row r="537" spans="1:13" ht="13.5" customHeight="1">
      <c r="A537" s="14" t="s">
        <v>25</v>
      </c>
      <c r="B537" s="18" t="s">
        <v>94</v>
      </c>
      <c r="C537" s="18" t="s">
        <v>107</v>
      </c>
      <c r="D537" s="18" t="s">
        <v>255</v>
      </c>
      <c r="E537" s="18" t="s">
        <v>110</v>
      </c>
      <c r="F537" s="18"/>
      <c r="G537" s="71"/>
      <c r="H537" s="94"/>
      <c r="I537" s="71"/>
      <c r="J537" s="71"/>
      <c r="K537" s="71"/>
      <c r="L537" s="70"/>
      <c r="M537" s="70"/>
    </row>
    <row r="538" spans="1:13" ht="13.5" customHeight="1">
      <c r="A538" s="14" t="s">
        <v>26</v>
      </c>
      <c r="B538" s="18" t="s">
        <v>94</v>
      </c>
      <c r="C538" s="18" t="s">
        <v>107</v>
      </c>
      <c r="D538" s="18" t="s">
        <v>255</v>
      </c>
      <c r="E538" s="18" t="s">
        <v>110</v>
      </c>
      <c r="F538" s="18" t="s">
        <v>136</v>
      </c>
      <c r="G538" s="71">
        <f>H538+I538+J538+K538</f>
        <v>132.05444</v>
      </c>
      <c r="H538" s="94">
        <f>58-11.4384</f>
        <v>46.5616</v>
      </c>
      <c r="I538" s="71">
        <f>31+11.4384-11.39806</f>
        <v>31.04034</v>
      </c>
      <c r="J538" s="71">
        <f>11.39806+3.10054</f>
        <v>14.4986</v>
      </c>
      <c r="K538" s="94">
        <f>66.7-3.10054-23.64556</f>
        <v>39.953900000000004</v>
      </c>
      <c r="L538" s="70"/>
      <c r="M538" s="70"/>
    </row>
    <row r="539" spans="1:13" ht="12.75" customHeight="1">
      <c r="A539" s="14" t="s">
        <v>27</v>
      </c>
      <c r="B539" s="18" t="s">
        <v>94</v>
      </c>
      <c r="C539" s="18" t="s">
        <v>107</v>
      </c>
      <c r="D539" s="18" t="s">
        <v>255</v>
      </c>
      <c r="E539" s="18" t="s">
        <v>110</v>
      </c>
      <c r="F539" s="18" t="s">
        <v>136</v>
      </c>
      <c r="G539" s="71">
        <f>H539+I539+J539+K539</f>
        <v>238.31875000000002</v>
      </c>
      <c r="H539" s="94">
        <f>107.07939+48.49191</f>
        <v>155.5713</v>
      </c>
      <c r="I539" s="71">
        <f>56-48.49191+2.67487+14.71937</f>
        <v>24.902330000000003</v>
      </c>
      <c r="J539" s="71">
        <f>56-2.67487-14.71937-32.87345</f>
        <v>5.732310000000005</v>
      </c>
      <c r="K539" s="71">
        <f>65.2-3.07939+32.87345-42.88125</f>
        <v>52.11280999999999</v>
      </c>
      <c r="L539" s="70"/>
      <c r="M539" s="70"/>
    </row>
    <row r="540" spans="1:13" ht="14.25" customHeight="1">
      <c r="A540" s="14" t="s">
        <v>28</v>
      </c>
      <c r="B540" s="18" t="s">
        <v>94</v>
      </c>
      <c r="C540" s="18" t="s">
        <v>107</v>
      </c>
      <c r="D540" s="18" t="s">
        <v>255</v>
      </c>
      <c r="E540" s="18" t="s">
        <v>110</v>
      </c>
      <c r="F540" s="18" t="s">
        <v>136</v>
      </c>
      <c r="G540" s="71">
        <f>H540+I540+J540+K540</f>
        <v>33.19144</v>
      </c>
      <c r="H540" s="94">
        <f>7.7-2.2437</f>
        <v>5.456300000000001</v>
      </c>
      <c r="I540" s="71">
        <f>8.3+2.2437-2.35925</f>
        <v>8.184450000000002</v>
      </c>
      <c r="J540" s="71">
        <f>8.3+2.35925-2.3256</f>
        <v>8.33365</v>
      </c>
      <c r="K540" s="71">
        <f>8.8+2.3256+0.09144</f>
        <v>11.21704</v>
      </c>
      <c r="L540" s="70"/>
      <c r="M540" s="70"/>
    </row>
    <row r="541" spans="1:13" ht="13.5" customHeight="1">
      <c r="A541" s="14" t="s">
        <v>29</v>
      </c>
      <c r="B541" s="18" t="s">
        <v>94</v>
      </c>
      <c r="C541" s="18" t="s">
        <v>107</v>
      </c>
      <c r="D541" s="18" t="s">
        <v>255</v>
      </c>
      <c r="E541" s="18" t="s">
        <v>110</v>
      </c>
      <c r="F541" s="18" t="s">
        <v>111</v>
      </c>
      <c r="G541" s="71">
        <f>H541+I541+J541+K541</f>
        <v>41.75528000000001</v>
      </c>
      <c r="H541" s="71">
        <f>H543</f>
        <v>6.900880000000001</v>
      </c>
      <c r="I541" s="71">
        <f>I543</f>
        <v>10.351320000000001</v>
      </c>
      <c r="J541" s="71">
        <f>J543</f>
        <v>10.351319999999987</v>
      </c>
      <c r="K541" s="71">
        <f>K543</f>
        <v>14.151760000000024</v>
      </c>
      <c r="L541" s="70"/>
      <c r="M541" s="70"/>
    </row>
    <row r="542" spans="1:13" ht="11.25" customHeight="1">
      <c r="A542" s="14" t="s">
        <v>25</v>
      </c>
      <c r="B542" s="18" t="s">
        <v>94</v>
      </c>
      <c r="C542" s="18" t="s">
        <v>107</v>
      </c>
      <c r="D542" s="18" t="s">
        <v>255</v>
      </c>
      <c r="E542" s="18" t="s">
        <v>110</v>
      </c>
      <c r="F542" s="18"/>
      <c r="G542" s="71"/>
      <c r="H542" s="71"/>
      <c r="I542" s="71"/>
      <c r="J542" s="71"/>
      <c r="K542" s="71"/>
      <c r="L542" s="70"/>
      <c r="M542" s="70"/>
    </row>
    <row r="543" spans="1:13" ht="13.5" customHeight="1">
      <c r="A543" s="14" t="s">
        <v>30</v>
      </c>
      <c r="B543" s="18" t="s">
        <v>94</v>
      </c>
      <c r="C543" s="18" t="s">
        <v>107</v>
      </c>
      <c r="D543" s="18" t="s">
        <v>255</v>
      </c>
      <c r="E543" s="18" t="s">
        <v>110</v>
      </c>
      <c r="F543" s="18" t="s">
        <v>111</v>
      </c>
      <c r="G543" s="71">
        <f>H543+I543+J543+K543</f>
        <v>41.75528000000001</v>
      </c>
      <c r="H543" s="71">
        <f>10.3-3.39912</f>
        <v>6.900880000000001</v>
      </c>
      <c r="I543" s="71">
        <f>10.4+3.39912+75.1-78.5478</f>
        <v>10.351320000000001</v>
      </c>
      <c r="J543" s="71">
        <f>78.5478+100+100-268.19648</f>
        <v>10.351319999999987</v>
      </c>
      <c r="K543" s="71">
        <f>20.8+268.19648-173.13834-6.3806-15.48164-79.84414</f>
        <v>14.151760000000024</v>
      </c>
      <c r="L543" s="70"/>
      <c r="M543" s="70"/>
    </row>
    <row r="544" spans="1:13" ht="15" customHeight="1">
      <c r="A544" s="14" t="s">
        <v>32</v>
      </c>
      <c r="B544" s="18" t="s">
        <v>94</v>
      </c>
      <c r="C544" s="18" t="s">
        <v>107</v>
      </c>
      <c r="D544" s="18" t="s">
        <v>255</v>
      </c>
      <c r="E544" s="18" t="s">
        <v>110</v>
      </c>
      <c r="F544" s="18" t="s">
        <v>112</v>
      </c>
      <c r="G544" s="71">
        <f>H544+I544+J544+K544</f>
        <v>554.06014</v>
      </c>
      <c r="H544" s="98">
        <f>H545</f>
        <v>8.280000000000001</v>
      </c>
      <c r="I544" s="84">
        <f>I545</f>
        <v>279.40000000000003</v>
      </c>
      <c r="J544" s="71">
        <f>J545</f>
        <v>38.97874</v>
      </c>
      <c r="K544" s="94">
        <f>K545</f>
        <v>227.4014</v>
      </c>
      <c r="L544" s="70"/>
      <c r="M544" s="70"/>
    </row>
    <row r="545" spans="1:13" ht="14.25" customHeight="1">
      <c r="A545" s="14" t="s">
        <v>81</v>
      </c>
      <c r="B545" s="18" t="s">
        <v>94</v>
      </c>
      <c r="C545" s="18" t="s">
        <v>107</v>
      </c>
      <c r="D545" s="18" t="s">
        <v>255</v>
      </c>
      <c r="E545" s="18" t="s">
        <v>110</v>
      </c>
      <c r="F545" s="18" t="s">
        <v>112</v>
      </c>
      <c r="G545" s="71">
        <f>H545+I545+J545+K545</f>
        <v>554.06014</v>
      </c>
      <c r="H545" s="98">
        <f>10.57-2.29</f>
        <v>8.280000000000001</v>
      </c>
      <c r="I545" s="84">
        <f>29.46+150+20+99.5-19.56</f>
        <v>279.40000000000003</v>
      </c>
      <c r="J545" s="71">
        <f>8.4+19.56+7.71874+3.3</f>
        <v>38.97874</v>
      </c>
      <c r="K545" s="94">
        <f>46.14-7.71874-3.3+173.13834+6.3806+12.7612</f>
        <v>227.4014</v>
      </c>
      <c r="L545" s="70"/>
      <c r="M545" s="70"/>
    </row>
    <row r="546" spans="1:13" ht="15" customHeight="1">
      <c r="A546" s="14" t="s">
        <v>33</v>
      </c>
      <c r="B546" s="18" t="s">
        <v>94</v>
      </c>
      <c r="C546" s="18" t="s">
        <v>107</v>
      </c>
      <c r="D546" s="18" t="s">
        <v>255</v>
      </c>
      <c r="E546" s="18" t="s">
        <v>110</v>
      </c>
      <c r="F546" s="18" t="s">
        <v>138</v>
      </c>
      <c r="G546" s="71">
        <f>H546+I546+J546+K546</f>
        <v>1734.0493499999998</v>
      </c>
      <c r="H546" s="71">
        <v>578.766</v>
      </c>
      <c r="I546" s="71">
        <f>384.203+0.04535+67.41735+316.78565</f>
        <v>768.4513499999999</v>
      </c>
      <c r="J546" s="83">
        <f>384.203-384.203</f>
        <v>0</v>
      </c>
      <c r="K546" s="71">
        <f>384.203+2.629</f>
        <v>386.832</v>
      </c>
      <c r="L546" s="70"/>
      <c r="M546" s="70"/>
    </row>
    <row r="547" spans="1:13" ht="15" customHeight="1" hidden="1">
      <c r="A547" s="13" t="s">
        <v>36</v>
      </c>
      <c r="B547" s="18" t="s">
        <v>94</v>
      </c>
      <c r="C547" s="18" t="s">
        <v>107</v>
      </c>
      <c r="D547" s="18" t="s">
        <v>255</v>
      </c>
      <c r="E547" s="18" t="s">
        <v>110</v>
      </c>
      <c r="F547" s="18" t="s">
        <v>140</v>
      </c>
      <c r="G547" s="71">
        <f>H547+I547+J547+K547</f>
        <v>0</v>
      </c>
      <c r="H547" s="71">
        <v>0</v>
      </c>
      <c r="I547" s="71">
        <f>100-67.41735-32.58265</f>
        <v>0</v>
      </c>
      <c r="J547" s="71">
        <f>32.58265+67.41735-100</f>
        <v>0</v>
      </c>
      <c r="K547" s="71">
        <f>500-500</f>
        <v>0</v>
      </c>
      <c r="L547" s="70"/>
      <c r="M547" s="70"/>
    </row>
    <row r="548" spans="1:13" ht="15" customHeight="1">
      <c r="A548" s="14" t="s">
        <v>39</v>
      </c>
      <c r="B548" s="18" t="s">
        <v>94</v>
      </c>
      <c r="C548" s="18" t="s">
        <v>107</v>
      </c>
      <c r="D548" s="18" t="s">
        <v>255</v>
      </c>
      <c r="E548" s="18" t="s">
        <v>110</v>
      </c>
      <c r="F548" s="18" t="s">
        <v>141</v>
      </c>
      <c r="G548" s="83">
        <f aca="true" t="shared" si="41" ref="G548:G558">H548+I548+J548+K548</f>
        <v>10</v>
      </c>
      <c r="H548" s="83">
        <v>0</v>
      </c>
      <c r="I548" s="83">
        <f>10-10</f>
        <v>0</v>
      </c>
      <c r="J548" s="83">
        <f>10-10</f>
        <v>0</v>
      </c>
      <c r="K548" s="83">
        <v>10</v>
      </c>
      <c r="L548" s="70"/>
      <c r="M548" s="70"/>
    </row>
    <row r="549" spans="1:13" ht="15" customHeight="1" hidden="1">
      <c r="A549" s="13" t="s">
        <v>36</v>
      </c>
      <c r="B549" s="18" t="s">
        <v>94</v>
      </c>
      <c r="C549" s="18" t="s">
        <v>107</v>
      </c>
      <c r="D549" s="18" t="s">
        <v>255</v>
      </c>
      <c r="E549" s="18" t="s">
        <v>128</v>
      </c>
      <c r="F549" s="18" t="s">
        <v>140</v>
      </c>
      <c r="G549" s="71">
        <f>H549+I549+J549+K549</f>
        <v>0</v>
      </c>
      <c r="H549" s="71">
        <v>0</v>
      </c>
      <c r="I549" s="71">
        <f>10-10</f>
        <v>0</v>
      </c>
      <c r="J549" s="71">
        <f>100-100</f>
        <v>0</v>
      </c>
      <c r="K549" s="71">
        <v>0</v>
      </c>
      <c r="L549" s="70"/>
      <c r="M549" s="70"/>
    </row>
    <row r="550" spans="1:13" ht="17.25" customHeight="1" hidden="1">
      <c r="A550" s="21" t="s">
        <v>332</v>
      </c>
      <c r="B550" s="20" t="s">
        <v>94</v>
      </c>
      <c r="C550" s="20" t="s">
        <v>107</v>
      </c>
      <c r="D550" s="20" t="s">
        <v>331</v>
      </c>
      <c r="E550" s="20" t="s">
        <v>127</v>
      </c>
      <c r="F550" s="20"/>
      <c r="G550" s="79">
        <f t="shared" si="41"/>
        <v>0</v>
      </c>
      <c r="H550" s="79">
        <f>H551</f>
        <v>0</v>
      </c>
      <c r="I550" s="79">
        <f>I551</f>
        <v>0</v>
      </c>
      <c r="J550" s="79">
        <f>J551</f>
        <v>0</v>
      </c>
      <c r="K550" s="79">
        <f>K551</f>
        <v>0</v>
      </c>
      <c r="L550" s="70"/>
      <c r="M550" s="70"/>
    </row>
    <row r="551" spans="1:13" ht="15" customHeight="1" hidden="1">
      <c r="A551" s="13" t="s">
        <v>33</v>
      </c>
      <c r="B551" s="18" t="s">
        <v>94</v>
      </c>
      <c r="C551" s="18" t="s">
        <v>107</v>
      </c>
      <c r="D551" s="18" t="s">
        <v>331</v>
      </c>
      <c r="E551" s="18" t="s">
        <v>110</v>
      </c>
      <c r="F551" s="18" t="s">
        <v>135</v>
      </c>
      <c r="G551" s="71">
        <f t="shared" si="41"/>
        <v>0</v>
      </c>
      <c r="H551" s="79">
        <v>0</v>
      </c>
      <c r="I551" s="79">
        <v>0</v>
      </c>
      <c r="J551" s="79">
        <v>0</v>
      </c>
      <c r="K551" s="79">
        <v>0</v>
      </c>
      <c r="L551" s="70"/>
      <c r="M551" s="70"/>
    </row>
    <row r="552" spans="1:13" ht="69" customHeight="1">
      <c r="A552" s="45" t="s">
        <v>421</v>
      </c>
      <c r="B552" s="20" t="s">
        <v>94</v>
      </c>
      <c r="C552" s="20" t="s">
        <v>107</v>
      </c>
      <c r="D552" s="20" t="s">
        <v>331</v>
      </c>
      <c r="E552" s="20" t="s">
        <v>127</v>
      </c>
      <c r="F552" s="20" t="s">
        <v>74</v>
      </c>
      <c r="G552" s="82">
        <f>G553</f>
        <v>174.39999999999998</v>
      </c>
      <c r="H552" s="81">
        <f>H553</f>
        <v>0</v>
      </c>
      <c r="I552" s="82">
        <f>I553</f>
        <v>21.799999999999997</v>
      </c>
      <c r="J552" s="80">
        <f>J553</f>
        <v>65.38</v>
      </c>
      <c r="K552" s="80">
        <f>K553</f>
        <v>87.22</v>
      </c>
      <c r="L552" s="70"/>
      <c r="M552" s="70"/>
    </row>
    <row r="553" spans="1:13" ht="15" customHeight="1">
      <c r="A553" s="13" t="s">
        <v>17</v>
      </c>
      <c r="B553" s="18" t="s">
        <v>94</v>
      </c>
      <c r="C553" s="18" t="s">
        <v>107</v>
      </c>
      <c r="D553" s="18" t="s">
        <v>331</v>
      </c>
      <c r="E553" s="18" t="s">
        <v>110</v>
      </c>
      <c r="F553" s="18" t="s">
        <v>129</v>
      </c>
      <c r="G553" s="84">
        <f>H553+I553+J553+K553</f>
        <v>174.39999999999998</v>
      </c>
      <c r="H553" s="81">
        <f>H554+H555</f>
        <v>0</v>
      </c>
      <c r="I553" s="82">
        <f>I554+I555</f>
        <v>21.799999999999997</v>
      </c>
      <c r="J553" s="80">
        <f>J554+J555</f>
        <v>65.38</v>
      </c>
      <c r="K553" s="80">
        <f>K554+K555</f>
        <v>87.22</v>
      </c>
      <c r="L553" s="70"/>
      <c r="M553" s="70"/>
    </row>
    <row r="554" spans="1:13" ht="15" customHeight="1">
      <c r="A554" s="14" t="s">
        <v>18</v>
      </c>
      <c r="B554" s="18" t="s">
        <v>94</v>
      </c>
      <c r="C554" s="18" t="s">
        <v>107</v>
      </c>
      <c r="D554" s="18" t="s">
        <v>331</v>
      </c>
      <c r="E554" s="18" t="s">
        <v>110</v>
      </c>
      <c r="F554" s="18" t="s">
        <v>130</v>
      </c>
      <c r="G554" s="98">
        <f>H554+I554+J554+K554</f>
        <v>133.95</v>
      </c>
      <c r="H554" s="81">
        <v>0</v>
      </c>
      <c r="I554" s="80">
        <v>16.74</v>
      </c>
      <c r="J554" s="80">
        <v>50.22</v>
      </c>
      <c r="K554" s="80">
        <v>66.99</v>
      </c>
      <c r="L554" s="70"/>
      <c r="M554" s="70"/>
    </row>
    <row r="555" spans="1:13" ht="15" customHeight="1">
      <c r="A555" s="14" t="s">
        <v>20</v>
      </c>
      <c r="B555" s="18" t="s">
        <v>94</v>
      </c>
      <c r="C555" s="18" t="s">
        <v>107</v>
      </c>
      <c r="D555" s="18" t="s">
        <v>331</v>
      </c>
      <c r="E555" s="18" t="s">
        <v>110</v>
      </c>
      <c r="F555" s="18" t="s">
        <v>132</v>
      </c>
      <c r="G555" s="98">
        <f>H555+I555+J555+K555</f>
        <v>40.45</v>
      </c>
      <c r="H555" s="81">
        <v>0</v>
      </c>
      <c r="I555" s="80">
        <v>5.06</v>
      </c>
      <c r="J555" s="80">
        <v>15.16</v>
      </c>
      <c r="K555" s="80">
        <v>20.23</v>
      </c>
      <c r="L555" s="70"/>
      <c r="M555" s="70"/>
    </row>
    <row r="556" spans="1:13" ht="26.25" customHeight="1" hidden="1">
      <c r="A556" s="21" t="s">
        <v>333</v>
      </c>
      <c r="B556" s="20" t="s">
        <v>94</v>
      </c>
      <c r="C556" s="20" t="s">
        <v>107</v>
      </c>
      <c r="D556" s="20" t="s">
        <v>334</v>
      </c>
      <c r="E556" s="20" t="s">
        <v>127</v>
      </c>
      <c r="F556" s="20"/>
      <c r="G556" s="79">
        <f t="shared" si="41"/>
        <v>0</v>
      </c>
      <c r="H556" s="79">
        <f>H557+H558</f>
        <v>0</v>
      </c>
      <c r="I556" s="79">
        <f>I557+I558</f>
        <v>0</v>
      </c>
      <c r="J556" s="79">
        <f>J557+J558</f>
        <v>0</v>
      </c>
      <c r="K556" s="79">
        <f>K557+K558</f>
        <v>0</v>
      </c>
      <c r="L556" s="70"/>
      <c r="M556" s="70"/>
    </row>
    <row r="557" spans="1:13" ht="15" customHeight="1" hidden="1">
      <c r="A557" s="13" t="s">
        <v>32</v>
      </c>
      <c r="B557" s="18" t="s">
        <v>94</v>
      </c>
      <c r="C557" s="18" t="s">
        <v>107</v>
      </c>
      <c r="D557" s="18" t="s">
        <v>334</v>
      </c>
      <c r="E557" s="18" t="s">
        <v>110</v>
      </c>
      <c r="F557" s="18" t="s">
        <v>112</v>
      </c>
      <c r="G557" s="71">
        <f t="shared" si="41"/>
        <v>0</v>
      </c>
      <c r="H557" s="71">
        <v>0</v>
      </c>
      <c r="I557" s="71">
        <v>0</v>
      </c>
      <c r="J557" s="71">
        <v>0</v>
      </c>
      <c r="K557" s="71">
        <v>0</v>
      </c>
      <c r="L557" s="70"/>
      <c r="M557" s="70"/>
    </row>
    <row r="558" spans="1:13" ht="15" customHeight="1" hidden="1">
      <c r="A558" s="14" t="s">
        <v>33</v>
      </c>
      <c r="B558" s="18" t="s">
        <v>94</v>
      </c>
      <c r="C558" s="18" t="s">
        <v>107</v>
      </c>
      <c r="D558" s="18" t="s">
        <v>334</v>
      </c>
      <c r="E558" s="18" t="s">
        <v>110</v>
      </c>
      <c r="F558" s="18" t="s">
        <v>138</v>
      </c>
      <c r="G558" s="71">
        <f t="shared" si="41"/>
        <v>0</v>
      </c>
      <c r="H558" s="71">
        <v>0</v>
      </c>
      <c r="I558" s="71">
        <v>0</v>
      </c>
      <c r="J558" s="71">
        <v>0</v>
      </c>
      <c r="K558" s="71">
        <v>0</v>
      </c>
      <c r="L558" s="70"/>
      <c r="M558" s="70"/>
    </row>
    <row r="559" spans="1:13" ht="54" customHeight="1">
      <c r="A559" s="45" t="s">
        <v>451</v>
      </c>
      <c r="B559" s="18" t="s">
        <v>94</v>
      </c>
      <c r="C559" s="18" t="s">
        <v>107</v>
      </c>
      <c r="D559" s="18" t="s">
        <v>334</v>
      </c>
      <c r="E559" s="18" t="s">
        <v>155</v>
      </c>
      <c r="F559" s="18"/>
      <c r="G559" s="83">
        <f aca="true" t="shared" si="42" ref="G559:G571">H559+I559+J559+K559</f>
        <v>600</v>
      </c>
      <c r="H559" s="83">
        <f>H560</f>
        <v>0</v>
      </c>
      <c r="I559" s="83">
        <f>I560</f>
        <v>0</v>
      </c>
      <c r="J559" s="83">
        <f>J560</f>
        <v>100</v>
      </c>
      <c r="K559" s="83">
        <f>K560</f>
        <v>500</v>
      </c>
      <c r="L559" s="70"/>
      <c r="M559" s="70"/>
    </row>
    <row r="560" spans="1:13" ht="15" customHeight="1">
      <c r="A560" s="13" t="s">
        <v>36</v>
      </c>
      <c r="B560" s="18" t="s">
        <v>94</v>
      </c>
      <c r="C560" s="18" t="s">
        <v>107</v>
      </c>
      <c r="D560" s="18" t="s">
        <v>334</v>
      </c>
      <c r="E560" s="18" t="s">
        <v>128</v>
      </c>
      <c r="F560" s="18" t="s">
        <v>140</v>
      </c>
      <c r="G560" s="83">
        <f t="shared" si="42"/>
        <v>600</v>
      </c>
      <c r="H560" s="83">
        <v>0</v>
      </c>
      <c r="I560" s="83">
        <v>0</v>
      </c>
      <c r="J560" s="83">
        <v>100</v>
      </c>
      <c r="K560" s="83">
        <v>500</v>
      </c>
      <c r="L560" s="70"/>
      <c r="M560" s="70"/>
    </row>
    <row r="561" spans="1:13" ht="27" customHeight="1">
      <c r="A561" s="22" t="s">
        <v>252</v>
      </c>
      <c r="B561" s="25" t="s">
        <v>94</v>
      </c>
      <c r="C561" s="25" t="s">
        <v>143</v>
      </c>
      <c r="D561" s="17" t="s">
        <v>182</v>
      </c>
      <c r="E561" s="25" t="s">
        <v>68</v>
      </c>
      <c r="F561" s="25"/>
      <c r="G561" s="110">
        <f t="shared" si="42"/>
        <v>137</v>
      </c>
      <c r="H561" s="108">
        <f>H562</f>
        <v>11.07</v>
      </c>
      <c r="I561" s="106">
        <f>I562</f>
        <v>55.9681</v>
      </c>
      <c r="J561" s="110">
        <f>J562</f>
        <v>42</v>
      </c>
      <c r="K561" s="106">
        <f>K562</f>
        <v>27.9619</v>
      </c>
      <c r="L561" s="70"/>
      <c r="M561" s="70"/>
    </row>
    <row r="562" spans="1:13" ht="24.75" customHeight="1">
      <c r="A562" s="16" t="s">
        <v>387</v>
      </c>
      <c r="B562" s="17" t="s">
        <v>94</v>
      </c>
      <c r="C562" s="17" t="s">
        <v>143</v>
      </c>
      <c r="D562" s="17" t="s">
        <v>249</v>
      </c>
      <c r="E562" s="17" t="s">
        <v>148</v>
      </c>
      <c r="F562" s="18"/>
      <c r="G562" s="105">
        <f t="shared" si="42"/>
        <v>137</v>
      </c>
      <c r="H562" s="103">
        <f>H563+H566+H568+H570</f>
        <v>11.07</v>
      </c>
      <c r="I562" s="99">
        <f>I563+I566+I568+I570</f>
        <v>55.9681</v>
      </c>
      <c r="J562" s="105">
        <f>J563+J566+J568+J570</f>
        <v>42</v>
      </c>
      <c r="K562" s="99">
        <f>K563+K566+K568+K570</f>
        <v>27.9619</v>
      </c>
      <c r="L562" s="70"/>
      <c r="M562" s="70"/>
    </row>
    <row r="563" spans="1:13" ht="22.5" customHeight="1">
      <c r="A563" s="21" t="s">
        <v>253</v>
      </c>
      <c r="B563" s="20" t="s">
        <v>94</v>
      </c>
      <c r="C563" s="20" t="s">
        <v>143</v>
      </c>
      <c r="D563" s="20" t="s">
        <v>256</v>
      </c>
      <c r="E563" s="20" t="s">
        <v>116</v>
      </c>
      <c r="F563" s="20"/>
      <c r="G563" s="81">
        <f t="shared" si="42"/>
        <v>137</v>
      </c>
      <c r="H563" s="80">
        <f>H565+H564</f>
        <v>11.07</v>
      </c>
      <c r="I563" s="100">
        <f>I565+I564</f>
        <v>55.9681</v>
      </c>
      <c r="J563" s="81">
        <f>J565+J564</f>
        <v>42</v>
      </c>
      <c r="K563" s="100">
        <f>K565+K564</f>
        <v>27.9619</v>
      </c>
      <c r="L563" s="70"/>
      <c r="M563" s="70"/>
    </row>
    <row r="564" spans="1:13" ht="15" customHeight="1" hidden="1">
      <c r="A564" s="14" t="s">
        <v>32</v>
      </c>
      <c r="B564" s="18" t="s">
        <v>94</v>
      </c>
      <c r="C564" s="18" t="s">
        <v>143</v>
      </c>
      <c r="D564" s="18" t="s">
        <v>256</v>
      </c>
      <c r="E564" s="18" t="s">
        <v>115</v>
      </c>
      <c r="F564" s="18" t="s">
        <v>54</v>
      </c>
      <c r="G564" s="83">
        <f t="shared" si="42"/>
        <v>0</v>
      </c>
      <c r="H564" s="80">
        <v>0</v>
      </c>
      <c r="I564" s="100">
        <v>0</v>
      </c>
      <c r="J564" s="81">
        <v>0</v>
      </c>
      <c r="K564" s="100">
        <v>0</v>
      </c>
      <c r="L564" s="70"/>
      <c r="M564" s="70"/>
    </row>
    <row r="565" spans="1:13" ht="12.75" customHeight="1">
      <c r="A565" s="13" t="s">
        <v>33</v>
      </c>
      <c r="B565" s="18" t="s">
        <v>94</v>
      </c>
      <c r="C565" s="18" t="s">
        <v>143</v>
      </c>
      <c r="D565" s="18" t="s">
        <v>256</v>
      </c>
      <c r="E565" s="18" t="s">
        <v>115</v>
      </c>
      <c r="F565" s="18" t="s">
        <v>55</v>
      </c>
      <c r="G565" s="83">
        <f t="shared" si="42"/>
        <v>137</v>
      </c>
      <c r="H565" s="80">
        <f>39-27.93</f>
        <v>11.07</v>
      </c>
      <c r="I565" s="100">
        <f>35+27.93-6.9619</f>
        <v>55.9681</v>
      </c>
      <c r="J565" s="81">
        <v>42</v>
      </c>
      <c r="K565" s="100">
        <v>27.9619</v>
      </c>
      <c r="L565" s="70"/>
      <c r="M565" s="70"/>
    </row>
    <row r="566" spans="1:13" ht="12.75" customHeight="1" hidden="1">
      <c r="A566" s="21" t="s">
        <v>257</v>
      </c>
      <c r="B566" s="20" t="s">
        <v>94</v>
      </c>
      <c r="C566" s="20" t="s">
        <v>143</v>
      </c>
      <c r="D566" s="20" t="s">
        <v>258</v>
      </c>
      <c r="E566" s="20" t="s">
        <v>115</v>
      </c>
      <c r="F566" s="20"/>
      <c r="G566" s="79">
        <f t="shared" si="42"/>
        <v>0</v>
      </c>
      <c r="H566" s="79">
        <f>H567</f>
        <v>0</v>
      </c>
      <c r="I566" s="79">
        <f>I567</f>
        <v>0</v>
      </c>
      <c r="J566" s="79">
        <f>J567</f>
        <v>0</v>
      </c>
      <c r="K566" s="79">
        <f>K567</f>
        <v>0</v>
      </c>
      <c r="L566" s="70"/>
      <c r="M566" s="70"/>
    </row>
    <row r="567" spans="1:13" ht="13.5" customHeight="1" hidden="1">
      <c r="A567" s="13" t="s">
        <v>36</v>
      </c>
      <c r="B567" s="18" t="s">
        <v>94</v>
      </c>
      <c r="C567" s="18" t="s">
        <v>143</v>
      </c>
      <c r="D567" s="18" t="s">
        <v>258</v>
      </c>
      <c r="E567" s="18" t="s">
        <v>115</v>
      </c>
      <c r="F567" s="18" t="s">
        <v>58</v>
      </c>
      <c r="G567" s="71">
        <f t="shared" si="42"/>
        <v>0</v>
      </c>
      <c r="H567" s="71">
        <f>50-50</f>
        <v>0</v>
      </c>
      <c r="I567" s="71">
        <f>50+50-100</f>
        <v>0</v>
      </c>
      <c r="J567" s="71">
        <f>100-100</f>
        <v>0</v>
      </c>
      <c r="K567" s="71">
        <v>0</v>
      </c>
      <c r="L567" s="70"/>
      <c r="M567" s="78"/>
    </row>
    <row r="568" spans="1:13" ht="25.5" customHeight="1" hidden="1">
      <c r="A568" s="21" t="s">
        <v>260</v>
      </c>
      <c r="B568" s="20" t="s">
        <v>94</v>
      </c>
      <c r="C568" s="20" t="s">
        <v>143</v>
      </c>
      <c r="D568" s="20" t="s">
        <v>259</v>
      </c>
      <c r="E568" s="20" t="s">
        <v>116</v>
      </c>
      <c r="F568" s="20"/>
      <c r="G568" s="79">
        <f t="shared" si="42"/>
        <v>0</v>
      </c>
      <c r="H568" s="79">
        <f>H569</f>
        <v>0</v>
      </c>
      <c r="I568" s="79">
        <f>I569</f>
        <v>0</v>
      </c>
      <c r="J568" s="79">
        <f>J569</f>
        <v>0</v>
      </c>
      <c r="K568" s="79">
        <f>K569</f>
        <v>0</v>
      </c>
      <c r="L568" s="70"/>
      <c r="M568" s="78"/>
    </row>
    <row r="569" spans="1:13" ht="13.5" customHeight="1" hidden="1">
      <c r="A569" s="13" t="s">
        <v>36</v>
      </c>
      <c r="B569" s="18" t="s">
        <v>94</v>
      </c>
      <c r="C569" s="18" t="s">
        <v>143</v>
      </c>
      <c r="D569" s="18" t="s">
        <v>259</v>
      </c>
      <c r="E569" s="18" t="s">
        <v>115</v>
      </c>
      <c r="F569" s="18" t="s">
        <v>58</v>
      </c>
      <c r="G569" s="71">
        <f t="shared" si="42"/>
        <v>0</v>
      </c>
      <c r="H569" s="71">
        <v>0</v>
      </c>
      <c r="I569" s="71">
        <v>0</v>
      </c>
      <c r="J569" s="71">
        <v>0</v>
      </c>
      <c r="K569" s="71">
        <f>50-50</f>
        <v>0</v>
      </c>
      <c r="L569" s="70"/>
      <c r="M569" s="78"/>
    </row>
    <row r="570" spans="1:13" ht="15.75" customHeight="1" hidden="1">
      <c r="A570" s="21" t="s">
        <v>295</v>
      </c>
      <c r="B570" s="20" t="s">
        <v>94</v>
      </c>
      <c r="C570" s="20" t="s">
        <v>143</v>
      </c>
      <c r="D570" s="20" t="s">
        <v>296</v>
      </c>
      <c r="E570" s="20" t="s">
        <v>116</v>
      </c>
      <c r="F570" s="20"/>
      <c r="G570" s="79">
        <f t="shared" si="42"/>
        <v>0</v>
      </c>
      <c r="H570" s="79">
        <f>H571</f>
        <v>0</v>
      </c>
      <c r="I570" s="79">
        <f>I571</f>
        <v>0</v>
      </c>
      <c r="J570" s="79">
        <f>J571</f>
        <v>0</v>
      </c>
      <c r="K570" s="79">
        <f>K571</f>
        <v>0</v>
      </c>
      <c r="L570" s="70"/>
      <c r="M570" s="78"/>
    </row>
    <row r="571" spans="1:13" ht="13.5" customHeight="1" hidden="1">
      <c r="A571" s="13" t="s">
        <v>149</v>
      </c>
      <c r="B571" s="18" t="s">
        <v>94</v>
      </c>
      <c r="C571" s="18" t="s">
        <v>143</v>
      </c>
      <c r="D571" s="18" t="s">
        <v>296</v>
      </c>
      <c r="E571" s="18" t="s">
        <v>115</v>
      </c>
      <c r="F571" s="18" t="s">
        <v>53</v>
      </c>
      <c r="G571" s="79">
        <f t="shared" si="42"/>
        <v>0</v>
      </c>
      <c r="H571" s="71">
        <f>100-100</f>
        <v>0</v>
      </c>
      <c r="I571" s="71">
        <f>100-100</f>
        <v>0</v>
      </c>
      <c r="J571" s="71">
        <v>0</v>
      </c>
      <c r="K571" s="71">
        <v>0</v>
      </c>
      <c r="L571" s="70"/>
      <c r="M571" s="78"/>
    </row>
    <row r="572" spans="1:13" ht="39" customHeight="1" hidden="1">
      <c r="A572" s="23" t="s">
        <v>351</v>
      </c>
      <c r="B572" s="42">
        <v>708</v>
      </c>
      <c r="C572" s="43"/>
      <c r="D572" s="18"/>
      <c r="E572" s="18"/>
      <c r="F572" s="37"/>
      <c r="G572" s="71"/>
      <c r="H572" s="71"/>
      <c r="I572" s="71"/>
      <c r="J572" s="71"/>
      <c r="K572" s="71"/>
      <c r="L572" s="71"/>
      <c r="M572" s="78"/>
    </row>
    <row r="573" spans="1:13" ht="13.5" customHeight="1" hidden="1">
      <c r="A573" s="16" t="s">
        <v>352</v>
      </c>
      <c r="B573" s="12">
        <v>708</v>
      </c>
      <c r="C573" s="17" t="s">
        <v>353</v>
      </c>
      <c r="D573" s="17" t="s">
        <v>165</v>
      </c>
      <c r="E573" s="17" t="s">
        <v>151</v>
      </c>
      <c r="F573" s="17"/>
      <c r="G573" s="75">
        <f>H573+I573+J573+K573</f>
        <v>0</v>
      </c>
      <c r="H573" s="75">
        <f>H574</f>
        <v>0</v>
      </c>
      <c r="I573" s="75">
        <f>I574</f>
        <v>0</v>
      </c>
      <c r="J573" s="75">
        <f>J574</f>
        <v>0</v>
      </c>
      <c r="K573" s="75">
        <f>K574</f>
        <v>0</v>
      </c>
      <c r="L573" s="75"/>
      <c r="M573" s="78"/>
    </row>
    <row r="574" spans="1:13" ht="13.5" customHeight="1" hidden="1">
      <c r="A574" s="13" t="s">
        <v>33</v>
      </c>
      <c r="B574" s="14">
        <v>708</v>
      </c>
      <c r="C574" s="18" t="s">
        <v>353</v>
      </c>
      <c r="D574" s="18" t="s">
        <v>165</v>
      </c>
      <c r="E574" s="18" t="s">
        <v>354</v>
      </c>
      <c r="F574" s="18" t="s">
        <v>55</v>
      </c>
      <c r="G574" s="71">
        <f>H574+I574+J574+K574</f>
        <v>0</v>
      </c>
      <c r="H574" s="71">
        <v>0</v>
      </c>
      <c r="I574" s="71">
        <v>0</v>
      </c>
      <c r="J574" s="71">
        <v>0</v>
      </c>
      <c r="K574" s="71">
        <v>0</v>
      </c>
      <c r="L574" s="71"/>
      <c r="M574" s="78"/>
    </row>
    <row r="575" spans="1:13" ht="9.75" customHeight="1">
      <c r="A575" s="16"/>
      <c r="B575" s="18"/>
      <c r="C575" s="18"/>
      <c r="D575" s="18"/>
      <c r="E575" s="18"/>
      <c r="F575" s="18"/>
      <c r="G575" s="71"/>
      <c r="H575" s="71"/>
      <c r="I575" s="71"/>
      <c r="J575" s="71"/>
      <c r="K575" s="71"/>
      <c r="L575" s="72"/>
      <c r="M575" s="72"/>
    </row>
    <row r="576" spans="1:13" ht="12" customHeight="1">
      <c r="A576" s="16" t="s">
        <v>88</v>
      </c>
      <c r="B576" s="17"/>
      <c r="C576" s="17"/>
      <c r="D576" s="17"/>
      <c r="E576" s="17"/>
      <c r="F576" s="17"/>
      <c r="G576" s="75">
        <f>H576+I576+J576+K576</f>
        <v>85758.14327</v>
      </c>
      <c r="H576" s="75">
        <f>H577+H581+H603+H605+H606+H607+H608+H609+H604</f>
        <v>10476.840830000001</v>
      </c>
      <c r="I576" s="75">
        <f>I577+I581+I603+I605+I606+I607+I608+I609+I604</f>
        <v>16141.39234</v>
      </c>
      <c r="J576" s="75">
        <f>J577+J581+J603+J605+J606+J607+J608+J609+J604</f>
        <v>28105.32064</v>
      </c>
      <c r="K576" s="75">
        <f>K577+K581+K603+K605+K606+K607+K608+K609+K604</f>
        <v>31034.58946</v>
      </c>
      <c r="L576" s="70"/>
      <c r="M576" s="70"/>
    </row>
    <row r="577" spans="1:13" ht="15" customHeight="1">
      <c r="A577" s="13" t="s">
        <v>17</v>
      </c>
      <c r="B577" s="18"/>
      <c r="C577" s="18"/>
      <c r="D577" s="18"/>
      <c r="E577" s="18"/>
      <c r="F577" s="18" t="s">
        <v>43</v>
      </c>
      <c r="G577" s="71">
        <f aca="true" t="shared" si="43" ref="G577:G582">H577+I577+J577+K577</f>
        <v>31894.53706</v>
      </c>
      <c r="H577" s="71">
        <f>H578+H580+H579</f>
        <v>5924.323829999999</v>
      </c>
      <c r="I577" s="71">
        <f>I578+I580+I579</f>
        <v>9439.73691</v>
      </c>
      <c r="J577" s="71">
        <f>J578+J579+J580</f>
        <v>8113.720380000001</v>
      </c>
      <c r="K577" s="71">
        <f>K578+K579+K580</f>
        <v>8416.75594</v>
      </c>
      <c r="L577" s="72"/>
      <c r="M577" s="72"/>
    </row>
    <row r="578" spans="1:13" ht="15.75" customHeight="1">
      <c r="A578" s="14" t="s">
        <v>18</v>
      </c>
      <c r="B578" s="18"/>
      <c r="C578" s="18"/>
      <c r="D578" s="18"/>
      <c r="E578" s="18"/>
      <c r="F578" s="18" t="s">
        <v>44</v>
      </c>
      <c r="G578" s="71">
        <f>H578+I578+J578+K578</f>
        <v>24536.509309999998</v>
      </c>
      <c r="H578" s="71">
        <f>H530+H362+H223+H148+H20+H554</f>
        <v>4655.0375699999995</v>
      </c>
      <c r="I578" s="71">
        <f>I530+I362+I223+I148+I20+I554</f>
        <v>7180.86007</v>
      </c>
      <c r="J578" s="71">
        <f>J530+J362+J223+J148+J20+J554</f>
        <v>6199.861180000001</v>
      </c>
      <c r="K578" s="71">
        <f>K530+K362+K223+K148+K20+K554</f>
        <v>6500.750489999999</v>
      </c>
      <c r="L578" s="72"/>
      <c r="M578" s="72"/>
    </row>
    <row r="579" spans="1:13" ht="15.75" customHeight="1" hidden="1">
      <c r="A579" s="14" t="s">
        <v>19</v>
      </c>
      <c r="B579" s="18"/>
      <c r="C579" s="18"/>
      <c r="D579" s="18"/>
      <c r="E579" s="18"/>
      <c r="F579" s="18" t="s">
        <v>45</v>
      </c>
      <c r="G579" s="71">
        <f t="shared" si="43"/>
        <v>0</v>
      </c>
      <c r="H579" s="71">
        <f>H21</f>
        <v>0</v>
      </c>
      <c r="I579" s="71">
        <f>I21</f>
        <v>0</v>
      </c>
      <c r="J579" s="71">
        <f>J21</f>
        <v>0</v>
      </c>
      <c r="K579" s="71">
        <f>K224+K21</f>
        <v>0</v>
      </c>
      <c r="L579" s="72"/>
      <c r="M579" s="72"/>
    </row>
    <row r="580" spans="1:13" ht="15.75" customHeight="1">
      <c r="A580" s="14" t="s">
        <v>20</v>
      </c>
      <c r="B580" s="18"/>
      <c r="C580" s="18"/>
      <c r="D580" s="18"/>
      <c r="E580" s="18"/>
      <c r="F580" s="18" t="s">
        <v>46</v>
      </c>
      <c r="G580" s="71">
        <f t="shared" si="43"/>
        <v>7358.027749999999</v>
      </c>
      <c r="H580" s="71">
        <f>H532+H364+H225+H150+H22+H555</f>
        <v>1269.28626</v>
      </c>
      <c r="I580" s="71">
        <f>I532+I364+I225+I150+I22+I555</f>
        <v>2258.87684</v>
      </c>
      <c r="J580" s="71">
        <f>J532+J364+J225+J150+J22+J555</f>
        <v>1913.8592</v>
      </c>
      <c r="K580" s="71">
        <f>K532+K364+K225+K150+K22+K555</f>
        <v>1916.00545</v>
      </c>
      <c r="L580" s="72"/>
      <c r="M580" s="72"/>
    </row>
    <row r="581" spans="1:13" ht="15.75" customHeight="1">
      <c r="A581" s="14" t="s">
        <v>21</v>
      </c>
      <c r="B581" s="18"/>
      <c r="C581" s="18"/>
      <c r="D581" s="18"/>
      <c r="E581" s="18"/>
      <c r="F581" s="18" t="s">
        <v>49</v>
      </c>
      <c r="G581" s="94">
        <f t="shared" si="43"/>
        <v>39303.7775</v>
      </c>
      <c r="H581" s="71">
        <f>H582+H583+H584+H590+H598</f>
        <v>3198.04434</v>
      </c>
      <c r="I581" s="71">
        <f>I582+I583+I584+I590+I598</f>
        <v>3975.2936799999998</v>
      </c>
      <c r="J581" s="71">
        <f>J582+J583+J584+J590+J598</f>
        <v>11534.15269</v>
      </c>
      <c r="K581" s="71">
        <f>K582+K583+K584+K590+K598</f>
        <v>20596.28679</v>
      </c>
      <c r="L581" s="72"/>
      <c r="M581" s="72"/>
    </row>
    <row r="582" spans="1:13" ht="15.75" customHeight="1">
      <c r="A582" s="14" t="s">
        <v>22</v>
      </c>
      <c r="B582" s="18"/>
      <c r="C582" s="18"/>
      <c r="D582" s="18"/>
      <c r="E582" s="18"/>
      <c r="F582" s="18" t="s">
        <v>50</v>
      </c>
      <c r="G582" s="71">
        <f t="shared" si="43"/>
        <v>312.78826000000004</v>
      </c>
      <c r="H582" s="71">
        <f>H366++H227+H24</f>
        <v>50.124359999999996</v>
      </c>
      <c r="I582" s="71">
        <f>I366++I227+I24</f>
        <v>73.94864</v>
      </c>
      <c r="J582" s="71">
        <f>J366++J227+J24</f>
        <v>90.65074000000001</v>
      </c>
      <c r="K582" s="71">
        <f>K366++K227+K24</f>
        <v>98.06452</v>
      </c>
      <c r="L582" s="72"/>
      <c r="M582" s="72"/>
    </row>
    <row r="583" spans="1:13" ht="15.75" customHeight="1">
      <c r="A583" s="14" t="s">
        <v>23</v>
      </c>
      <c r="B583" s="18"/>
      <c r="C583" s="18"/>
      <c r="D583" s="18"/>
      <c r="E583" s="18"/>
      <c r="F583" s="18" t="s">
        <v>51</v>
      </c>
      <c r="G583" s="84">
        <f>H583+I583+J583+K583</f>
        <v>206.5</v>
      </c>
      <c r="H583" s="84">
        <f>H535+H228+H177+H551+H357+H402+H214</f>
        <v>4.5000000000000036</v>
      </c>
      <c r="I583" s="83">
        <f>I535+I228+I177+I551+I357+I402+I214</f>
        <v>21</v>
      </c>
      <c r="J583" s="83">
        <f>J535+J228+J177+J551+J357+J402+J214</f>
        <v>24</v>
      </c>
      <c r="K583" s="83">
        <f>K535+K228+K177+K551+K357+K402+K214</f>
        <v>157</v>
      </c>
      <c r="L583" s="72"/>
      <c r="M583" s="72"/>
    </row>
    <row r="584" spans="1:13" ht="15.75" customHeight="1">
      <c r="A584" s="14" t="s">
        <v>24</v>
      </c>
      <c r="B584" s="18"/>
      <c r="C584" s="18"/>
      <c r="D584" s="18"/>
      <c r="E584" s="18"/>
      <c r="F584" s="18" t="s">
        <v>52</v>
      </c>
      <c r="G584" s="71">
        <f>H584+I584+K584+J584</f>
        <v>6310.91344</v>
      </c>
      <c r="H584" s="71">
        <f>H586+H587+H588+H589</f>
        <v>2149.43005</v>
      </c>
      <c r="I584" s="71">
        <f>I586+I587+I588+I589</f>
        <v>1093.5376500000002</v>
      </c>
      <c r="J584" s="71">
        <f>J586+J587+J588+J589</f>
        <v>786.3291399999999</v>
      </c>
      <c r="K584" s="94">
        <f>K586+K587+K588+K589</f>
        <v>2281.6166</v>
      </c>
      <c r="L584" s="72"/>
      <c r="M584" s="72"/>
    </row>
    <row r="585" spans="1:13" ht="12.75" customHeight="1">
      <c r="A585" s="14" t="s">
        <v>25</v>
      </c>
      <c r="B585" s="18"/>
      <c r="C585" s="18"/>
      <c r="D585" s="18"/>
      <c r="E585" s="18"/>
      <c r="F585" s="18"/>
      <c r="G585" s="71"/>
      <c r="H585" s="71"/>
      <c r="I585" s="71"/>
      <c r="J585" s="71"/>
      <c r="K585" s="71"/>
      <c r="L585" s="72"/>
      <c r="M585" s="72"/>
    </row>
    <row r="586" spans="1:13" ht="15.75" customHeight="1">
      <c r="A586" s="14" t="s">
        <v>26</v>
      </c>
      <c r="B586" s="18"/>
      <c r="C586" s="18"/>
      <c r="D586" s="18"/>
      <c r="E586" s="18"/>
      <c r="F586" s="18" t="s">
        <v>52</v>
      </c>
      <c r="G586" s="71">
        <f>H586+I586+J586+K586</f>
        <v>1481.46064</v>
      </c>
      <c r="H586" s="71">
        <f aca="true" t="shared" si="44" ref="H586:K588">H538+H370+H231+H28</f>
        <v>524.2865400000001</v>
      </c>
      <c r="I586" s="71">
        <f t="shared" si="44"/>
        <v>354.68349</v>
      </c>
      <c r="J586" s="71">
        <f t="shared" si="44"/>
        <v>162.08686</v>
      </c>
      <c r="K586" s="71">
        <f t="shared" si="44"/>
        <v>440.40374999999995</v>
      </c>
      <c r="L586" s="72"/>
      <c r="M586" s="72"/>
    </row>
    <row r="587" spans="1:13" ht="14.25" customHeight="1">
      <c r="A587" s="14" t="s">
        <v>27</v>
      </c>
      <c r="B587" s="18"/>
      <c r="C587" s="18"/>
      <c r="D587" s="18"/>
      <c r="E587" s="18"/>
      <c r="F587" s="18" t="s">
        <v>52</v>
      </c>
      <c r="G587" s="71">
        <f>H587+I587+J587+K587</f>
        <v>4779.27697</v>
      </c>
      <c r="H587" s="71">
        <f t="shared" si="44"/>
        <v>1616.83579</v>
      </c>
      <c r="I587" s="71">
        <f t="shared" si="44"/>
        <v>727.1497000000002</v>
      </c>
      <c r="J587" s="71">
        <f t="shared" si="44"/>
        <v>610.31799</v>
      </c>
      <c r="K587" s="71">
        <f t="shared" si="44"/>
        <v>1824.97349</v>
      </c>
      <c r="L587" s="72"/>
      <c r="M587" s="72"/>
    </row>
    <row r="588" spans="1:13" ht="14.25" customHeight="1">
      <c r="A588" s="14" t="s">
        <v>28</v>
      </c>
      <c r="B588" s="18"/>
      <c r="C588" s="18"/>
      <c r="D588" s="18"/>
      <c r="E588" s="18"/>
      <c r="F588" s="18" t="s">
        <v>52</v>
      </c>
      <c r="G588" s="71">
        <f>H588+I588+J588+K588</f>
        <v>48.71279000000001</v>
      </c>
      <c r="H588" s="71">
        <f t="shared" si="44"/>
        <v>8.30772</v>
      </c>
      <c r="I588" s="71">
        <f t="shared" si="44"/>
        <v>11.704460000000006</v>
      </c>
      <c r="J588" s="71">
        <f t="shared" si="44"/>
        <v>12.46125</v>
      </c>
      <c r="K588" s="71">
        <f t="shared" si="44"/>
        <v>16.23936</v>
      </c>
      <c r="L588" s="72"/>
      <c r="M588" s="72"/>
    </row>
    <row r="589" spans="1:13" ht="14.25" customHeight="1">
      <c r="A589" s="14" t="s">
        <v>298</v>
      </c>
      <c r="B589" s="18"/>
      <c r="C589" s="18"/>
      <c r="D589" s="18"/>
      <c r="E589" s="18"/>
      <c r="F589" s="18" t="s">
        <v>52</v>
      </c>
      <c r="G589" s="71">
        <f>H589+I589+J589+K589</f>
        <v>1.46304</v>
      </c>
      <c r="H589" s="83">
        <f>H31</f>
        <v>0</v>
      </c>
      <c r="I589" s="83">
        <f>I31</f>
        <v>0</v>
      </c>
      <c r="J589" s="71">
        <f>J31</f>
        <v>1.46304</v>
      </c>
      <c r="K589" s="83">
        <f>K31</f>
        <v>0</v>
      </c>
      <c r="L589" s="72"/>
      <c r="M589" s="72"/>
    </row>
    <row r="590" spans="1:13" ht="15.75" customHeight="1">
      <c r="A590" s="14" t="s">
        <v>29</v>
      </c>
      <c r="B590" s="18"/>
      <c r="C590" s="18"/>
      <c r="D590" s="18"/>
      <c r="E590" s="18"/>
      <c r="F590" s="18" t="s">
        <v>53</v>
      </c>
      <c r="G590" s="71">
        <f>H590+I590+J590+K590</f>
        <v>28953.79295</v>
      </c>
      <c r="H590" s="71">
        <f>H592+H593+H594+H596+H597+H595</f>
        <v>642.01493</v>
      </c>
      <c r="I590" s="71">
        <f>I592+I593+I594+I596+I597+I595</f>
        <v>1967.92781</v>
      </c>
      <c r="J590" s="71">
        <f>J592+J593+J594+J596+J597+J595</f>
        <v>10197.98875</v>
      </c>
      <c r="K590" s="71">
        <f>K592+K593+K594+K596+K597+K595</f>
        <v>16145.861459999998</v>
      </c>
      <c r="L590" s="72"/>
      <c r="M590" s="72"/>
    </row>
    <row r="591" spans="1:13" ht="12.75" customHeight="1">
      <c r="A591" s="14" t="s">
        <v>25</v>
      </c>
      <c r="B591" s="18"/>
      <c r="C591" s="18"/>
      <c r="D591" s="18"/>
      <c r="E591" s="18"/>
      <c r="F591" s="18"/>
      <c r="G591" s="71"/>
      <c r="H591" s="71"/>
      <c r="I591" s="71"/>
      <c r="J591" s="71"/>
      <c r="K591" s="71"/>
      <c r="L591" s="72"/>
      <c r="M591" s="72"/>
    </row>
    <row r="592" spans="1:13" ht="15.75" customHeight="1">
      <c r="A592" s="14" t="s">
        <v>297</v>
      </c>
      <c r="B592" s="18"/>
      <c r="C592" s="18"/>
      <c r="D592" s="18"/>
      <c r="E592" s="18"/>
      <c r="F592" s="18" t="s">
        <v>53</v>
      </c>
      <c r="G592" s="71">
        <f aca="true" t="shared" si="45" ref="G592:G598">H592+I592+J592+K592</f>
        <v>13195.55198</v>
      </c>
      <c r="H592" s="71">
        <f>H543+H375+H236+H571+H187+H194+H200+H202+H204+H208+H220+H206</f>
        <v>39.3338</v>
      </c>
      <c r="I592" s="71">
        <f>I543+I375+I236+I571+I187+I194+I200+I202+I204+I208+I220+I206</f>
        <v>60.8017</v>
      </c>
      <c r="J592" s="71">
        <f>J543+J375+J236+J571+J187+J194+J200+J202+J204+J208+J220+J206</f>
        <v>6833.2561000000005</v>
      </c>
      <c r="K592" s="71">
        <f>K543+K375+K236+K571+K187+K194+K200+K202+K204+K208+K220+K206</f>
        <v>6262.160379999999</v>
      </c>
      <c r="L592" s="72"/>
      <c r="M592" s="72"/>
    </row>
    <row r="593" spans="1:13" ht="15.75" customHeight="1" hidden="1">
      <c r="A593" s="14" t="s">
        <v>76</v>
      </c>
      <c r="B593" s="18"/>
      <c r="C593" s="18"/>
      <c r="D593" s="18"/>
      <c r="E593" s="18"/>
      <c r="F593" s="18" t="s">
        <v>53</v>
      </c>
      <c r="G593" s="71">
        <f t="shared" si="45"/>
        <v>0</v>
      </c>
      <c r="H593" s="71"/>
      <c r="I593" s="71"/>
      <c r="J593" s="71"/>
      <c r="K593" s="71"/>
      <c r="L593" s="72"/>
      <c r="M593" s="72"/>
    </row>
    <row r="594" spans="1:13" ht="15.75" customHeight="1" hidden="1">
      <c r="A594" s="14" t="s">
        <v>31</v>
      </c>
      <c r="B594" s="18"/>
      <c r="C594" s="18"/>
      <c r="D594" s="18"/>
      <c r="E594" s="18"/>
      <c r="F594" s="18" t="s">
        <v>53</v>
      </c>
      <c r="G594" s="71">
        <f>H594+I594+J594+K594</f>
        <v>0</v>
      </c>
      <c r="H594" s="71">
        <f>H377+H237</f>
        <v>0</v>
      </c>
      <c r="I594" s="71">
        <f>I377+I237</f>
        <v>0</v>
      </c>
      <c r="J594" s="71">
        <f>J377+J237</f>
        <v>0</v>
      </c>
      <c r="K594" s="71">
        <f>K377+K237</f>
        <v>0</v>
      </c>
      <c r="L594" s="72"/>
      <c r="M594" s="72"/>
    </row>
    <row r="595" spans="1:13" ht="15.75" customHeight="1" hidden="1">
      <c r="A595" s="14" t="s">
        <v>106</v>
      </c>
      <c r="B595" s="18"/>
      <c r="C595" s="18"/>
      <c r="D595" s="18"/>
      <c r="E595" s="18"/>
      <c r="F595" s="18" t="s">
        <v>53</v>
      </c>
      <c r="G595" s="71">
        <f>H595+I595+J595+K595</f>
        <v>0</v>
      </c>
      <c r="H595" s="71">
        <f>H238</f>
        <v>0</v>
      </c>
      <c r="I595" s="71">
        <f>I238</f>
        <v>0</v>
      </c>
      <c r="J595" s="71">
        <f>J238</f>
        <v>0</v>
      </c>
      <c r="K595" s="71">
        <f>K238</f>
        <v>0</v>
      </c>
      <c r="L595" s="72"/>
      <c r="M595" s="72"/>
    </row>
    <row r="596" spans="1:13" ht="15.75" customHeight="1" hidden="1">
      <c r="A596" s="14" t="s">
        <v>77</v>
      </c>
      <c r="B596" s="18"/>
      <c r="C596" s="18"/>
      <c r="D596" s="18"/>
      <c r="E596" s="18"/>
      <c r="F596" s="18" t="s">
        <v>53</v>
      </c>
      <c r="G596" s="71">
        <f t="shared" si="45"/>
        <v>0</v>
      </c>
      <c r="H596" s="71"/>
      <c r="I596" s="71">
        <f>I237</f>
        <v>0</v>
      </c>
      <c r="J596" s="71"/>
      <c r="K596" s="71"/>
      <c r="L596" s="72"/>
      <c r="M596" s="72"/>
    </row>
    <row r="597" spans="1:13" ht="15.75" customHeight="1">
      <c r="A597" s="14" t="s">
        <v>89</v>
      </c>
      <c r="B597" s="18"/>
      <c r="C597" s="18"/>
      <c r="D597" s="18"/>
      <c r="E597" s="18"/>
      <c r="F597" s="18" t="s">
        <v>53</v>
      </c>
      <c r="G597" s="71">
        <f t="shared" si="45"/>
        <v>15758.240969999999</v>
      </c>
      <c r="H597" s="71">
        <f>H239+H169+H190+H32+H353+H175+H185</f>
        <v>602.68113</v>
      </c>
      <c r="I597" s="71">
        <f>I239+I169+I190+I32+I353+I175+I185</f>
        <v>1907.12611</v>
      </c>
      <c r="J597" s="71">
        <f>J239+J169+J190+J32+J353+J175+J185</f>
        <v>3364.73265</v>
      </c>
      <c r="K597" s="71">
        <f>K239+K169+K190+K32+K353+K175+K185</f>
        <v>9883.701079999999</v>
      </c>
      <c r="L597" s="72"/>
      <c r="M597" s="72"/>
    </row>
    <row r="598" spans="1:13" ht="14.25" customHeight="1">
      <c r="A598" s="14" t="s">
        <v>32</v>
      </c>
      <c r="B598" s="18"/>
      <c r="C598" s="18"/>
      <c r="D598" s="18"/>
      <c r="E598" s="18"/>
      <c r="F598" s="18" t="s">
        <v>54</v>
      </c>
      <c r="G598" s="71">
        <f t="shared" si="45"/>
        <v>3519.78285</v>
      </c>
      <c r="H598" s="97">
        <f>H600+H601+H602</f>
        <v>351.975</v>
      </c>
      <c r="I598" s="71">
        <f>I601+I602+I600</f>
        <v>818.87958</v>
      </c>
      <c r="J598" s="71">
        <f>J600+J601+J602</f>
        <v>435.18405999999993</v>
      </c>
      <c r="K598" s="71">
        <f>K600+K601+K602</f>
        <v>1913.7442099999998</v>
      </c>
      <c r="L598" s="72"/>
      <c r="M598" s="72"/>
    </row>
    <row r="599" spans="1:13" ht="15.75" customHeight="1">
      <c r="A599" s="14" t="s">
        <v>25</v>
      </c>
      <c r="B599" s="18"/>
      <c r="C599" s="18"/>
      <c r="D599" s="18"/>
      <c r="E599" s="18"/>
      <c r="F599" s="18"/>
      <c r="G599" s="71"/>
      <c r="H599" s="71"/>
      <c r="I599" s="71"/>
      <c r="J599" s="71"/>
      <c r="K599" s="71"/>
      <c r="L599" s="72"/>
      <c r="M599" s="72"/>
    </row>
    <row r="600" spans="1:13" ht="15.75" customHeight="1">
      <c r="A600" s="14" t="s">
        <v>81</v>
      </c>
      <c r="B600" s="18"/>
      <c r="C600" s="18"/>
      <c r="D600" s="18"/>
      <c r="E600" s="18"/>
      <c r="F600" s="18" t="s">
        <v>54</v>
      </c>
      <c r="G600" s="71">
        <f>H600+I600+J600+K600</f>
        <v>3519.78285</v>
      </c>
      <c r="H600" s="97">
        <f>H545+H380+H242+H33+H171+H521+H173+H179+H181+H183+H557+H163+H564+H210+H212</f>
        <v>351.975</v>
      </c>
      <c r="I600" s="71">
        <f>I545+I380+I242+I33+I171+I521+I173+I179+I181+I183+I557+I163+I564+I210+I212</f>
        <v>818.87958</v>
      </c>
      <c r="J600" s="71">
        <f>J545+J380+J242+J33+J171+J521+J173+J179+J181+J183+J557+J163+J564+J210+J212</f>
        <v>435.18405999999993</v>
      </c>
      <c r="K600" s="71">
        <f>K545+K380+K242+K33+K171+K521+K173+K179+K181+K183+K557+K163+K564+K210+K212</f>
        <v>1913.7442099999998</v>
      </c>
      <c r="L600" s="72"/>
      <c r="M600" s="72"/>
    </row>
    <row r="601" spans="1:13" ht="15.75" customHeight="1" hidden="1">
      <c r="A601" s="14" t="s">
        <v>79</v>
      </c>
      <c r="B601" s="18"/>
      <c r="C601" s="18"/>
      <c r="D601" s="18"/>
      <c r="E601" s="18"/>
      <c r="F601" s="18" t="s">
        <v>54</v>
      </c>
      <c r="G601" s="71">
        <f>H601+I601+J601+K601</f>
        <v>0</v>
      </c>
      <c r="H601" s="71">
        <f>H243</f>
        <v>0</v>
      </c>
      <c r="I601" s="71">
        <f>I243</f>
        <v>0</v>
      </c>
      <c r="J601" s="71">
        <f>J243</f>
        <v>0</v>
      </c>
      <c r="K601" s="71">
        <f>K243</f>
        <v>0</v>
      </c>
      <c r="L601" s="72"/>
      <c r="M601" s="72"/>
    </row>
    <row r="602" spans="1:13" ht="14.25" customHeight="1" hidden="1">
      <c r="A602" s="14" t="s">
        <v>78</v>
      </c>
      <c r="B602" s="18"/>
      <c r="C602" s="18"/>
      <c r="D602" s="18"/>
      <c r="E602" s="18"/>
      <c r="F602" s="18" t="s">
        <v>54</v>
      </c>
      <c r="G602" s="71">
        <f>H602+I602+J602+K602</f>
        <v>0</v>
      </c>
      <c r="H602" s="71"/>
      <c r="I602" s="71"/>
      <c r="J602" s="71"/>
      <c r="K602" s="71"/>
      <c r="L602" s="72"/>
      <c r="M602" s="72"/>
    </row>
    <row r="603" spans="1:13" ht="13.5" customHeight="1">
      <c r="A603" s="13" t="s">
        <v>87</v>
      </c>
      <c r="B603" s="18"/>
      <c r="C603" s="18"/>
      <c r="D603" s="18"/>
      <c r="E603" s="18"/>
      <c r="F603" s="18" t="s">
        <v>86</v>
      </c>
      <c r="G603" s="97">
        <f aca="true" t="shared" si="46" ref="G603:G610">H603+I603+J603+K603</f>
        <v>1604.0220000000002</v>
      </c>
      <c r="H603" s="84">
        <f>H158+H509+H276+H218+H515+H511</f>
        <v>209.7</v>
      </c>
      <c r="I603" s="97">
        <f>I158+I509+I276+I218+I515+I511</f>
        <v>827.392</v>
      </c>
      <c r="J603" s="84">
        <f>J158+J509+J276+J218+J515+J511</f>
        <v>209.7</v>
      </c>
      <c r="K603" s="98">
        <f>K158+K509+K276+K218+K515+K511</f>
        <v>357.23</v>
      </c>
      <c r="L603" s="72"/>
      <c r="M603" s="72"/>
    </row>
    <row r="604" spans="1:13" ht="15" customHeight="1">
      <c r="A604" s="13" t="s">
        <v>113</v>
      </c>
      <c r="B604" s="18"/>
      <c r="C604" s="18"/>
      <c r="D604" s="18"/>
      <c r="E604" s="18"/>
      <c r="F604" s="18" t="s">
        <v>56</v>
      </c>
      <c r="G604" s="71">
        <f>H604+I604+J604+K604</f>
        <v>5834.84066</v>
      </c>
      <c r="H604" s="71">
        <f>H34+H247+H505+H499+H497</f>
        <v>11.241480000000013</v>
      </c>
      <c r="I604" s="71">
        <f>I34+I247+I505+I499+I497</f>
        <v>9.995769999999968</v>
      </c>
      <c r="J604" s="71">
        <f>J34+J247+J505+J499+J497</f>
        <v>5801.20248</v>
      </c>
      <c r="K604" s="71">
        <f>K34+K247+K505+K499+K497</f>
        <v>12.400929999999988</v>
      </c>
      <c r="L604" s="72"/>
      <c r="M604" s="72"/>
    </row>
    <row r="605" spans="1:13" ht="14.25" customHeight="1">
      <c r="A605" s="14" t="s">
        <v>34</v>
      </c>
      <c r="B605" s="18"/>
      <c r="C605" s="18"/>
      <c r="D605" s="18"/>
      <c r="E605" s="18"/>
      <c r="F605" s="18" t="s">
        <v>101</v>
      </c>
      <c r="G605" s="71">
        <f t="shared" si="46"/>
        <v>375.19341</v>
      </c>
      <c r="H605" s="71">
        <f>H493</f>
        <v>86.81667</v>
      </c>
      <c r="I605" s="71">
        <f>I493</f>
        <v>86.81666999999999</v>
      </c>
      <c r="J605" s="71">
        <f>J493</f>
        <v>100.15602</v>
      </c>
      <c r="K605" s="71">
        <f>K493</f>
        <v>101.40405000000001</v>
      </c>
      <c r="L605" s="72"/>
      <c r="M605" s="72"/>
    </row>
    <row r="606" spans="1:13" ht="15.75" customHeight="1">
      <c r="A606" s="14" t="s">
        <v>33</v>
      </c>
      <c r="B606" s="18"/>
      <c r="C606" s="18"/>
      <c r="D606" s="18"/>
      <c r="E606" s="18"/>
      <c r="F606" s="18" t="s">
        <v>55</v>
      </c>
      <c r="G606" s="71">
        <f t="shared" si="46"/>
        <v>3289.6768899999997</v>
      </c>
      <c r="H606" s="71">
        <f>H565+H546+H524+H519+H383+H248+H35+H358+H558+H574+H501+H503+H192</f>
        <v>960.43175</v>
      </c>
      <c r="I606" s="71">
        <f>I565+I546+I524+I519+I383+I248+I35+I358+I558+I574+I501+I503+I192</f>
        <v>1502.67545</v>
      </c>
      <c r="J606" s="71">
        <f>J565+J546+J524+J519+J383+J248+J35+J358+J558+J574+J501+J503+J192</f>
        <v>58.027069999999995</v>
      </c>
      <c r="K606" s="71">
        <f>K565+K546+K524+K519+K383+K248+K35+K358+K558+K574+K501+K503+K192</f>
        <v>768.5426199999999</v>
      </c>
      <c r="L606" s="72"/>
      <c r="M606" s="72"/>
    </row>
    <row r="607" spans="1:13" ht="12.75" customHeight="1" hidden="1">
      <c r="A607" s="14" t="s">
        <v>89</v>
      </c>
      <c r="B607" s="18"/>
      <c r="C607" s="18"/>
      <c r="D607" s="18"/>
      <c r="E607" s="18"/>
      <c r="F607" s="18" t="s">
        <v>74</v>
      </c>
      <c r="G607" s="71">
        <f t="shared" si="46"/>
        <v>0</v>
      </c>
      <c r="H607" s="71">
        <f aca="true" t="shared" si="47" ref="H607:K608">H244</f>
        <v>0</v>
      </c>
      <c r="I607" s="71">
        <f t="shared" si="47"/>
        <v>0</v>
      </c>
      <c r="J607" s="71">
        <f t="shared" si="47"/>
        <v>0</v>
      </c>
      <c r="K607" s="71">
        <f t="shared" si="47"/>
        <v>0</v>
      </c>
      <c r="L607" s="72"/>
      <c r="M607" s="72"/>
    </row>
    <row r="608" spans="1:13" ht="14.25" customHeight="1">
      <c r="A608" s="14" t="s">
        <v>89</v>
      </c>
      <c r="B608" s="18"/>
      <c r="C608" s="18"/>
      <c r="D608" s="18"/>
      <c r="E608" s="18"/>
      <c r="F608" s="18" t="s">
        <v>69</v>
      </c>
      <c r="G608" s="71">
        <f t="shared" si="46"/>
        <v>40.629359999999934</v>
      </c>
      <c r="H608" s="83">
        <f t="shared" si="47"/>
        <v>0</v>
      </c>
      <c r="I608" s="71">
        <f t="shared" si="47"/>
        <v>40.629360000000005</v>
      </c>
      <c r="J608" s="83">
        <f t="shared" si="47"/>
        <v>0</v>
      </c>
      <c r="K608" s="83">
        <f t="shared" si="47"/>
        <v>-7.194245199571014E-14</v>
      </c>
      <c r="L608" s="72"/>
      <c r="M608" s="72"/>
    </row>
    <row r="609" spans="1:13" ht="13.5" customHeight="1">
      <c r="A609" s="13" t="s">
        <v>35</v>
      </c>
      <c r="B609" s="18"/>
      <c r="C609" s="18"/>
      <c r="D609" s="18"/>
      <c r="E609" s="18"/>
      <c r="F609" s="18" t="s">
        <v>57</v>
      </c>
      <c r="G609" s="71">
        <f t="shared" si="46"/>
        <v>3415.46639</v>
      </c>
      <c r="H609" s="71">
        <f>H610+H614</f>
        <v>86.28276</v>
      </c>
      <c r="I609" s="71">
        <f>I610+I614</f>
        <v>258.8525</v>
      </c>
      <c r="J609" s="97">
        <f>J610+J614</f>
        <v>2288.362</v>
      </c>
      <c r="K609" s="71">
        <f>K614+K610</f>
        <v>781.96913</v>
      </c>
      <c r="L609" s="72"/>
      <c r="M609" s="72"/>
    </row>
    <row r="610" spans="1:13" ht="13.5" customHeight="1">
      <c r="A610" s="13" t="s">
        <v>36</v>
      </c>
      <c r="B610" s="18"/>
      <c r="C610" s="18"/>
      <c r="D610" s="18"/>
      <c r="E610" s="18"/>
      <c r="F610" s="18" t="s">
        <v>58</v>
      </c>
      <c r="G610" s="71">
        <f t="shared" si="46"/>
        <v>2886.4677199999996</v>
      </c>
      <c r="H610" s="83">
        <f>H612</f>
        <v>0</v>
      </c>
      <c r="I610" s="71">
        <f>I612</f>
        <v>79.95</v>
      </c>
      <c r="J610" s="97">
        <f>J612</f>
        <v>2193.886</v>
      </c>
      <c r="K610" s="71">
        <f>K612</f>
        <v>612.63172</v>
      </c>
      <c r="L610" s="72"/>
      <c r="M610" s="72"/>
    </row>
    <row r="611" spans="1:13" ht="12.75" customHeight="1">
      <c r="A611" s="13" t="s">
        <v>25</v>
      </c>
      <c r="B611" s="18"/>
      <c r="C611" s="18"/>
      <c r="D611" s="18"/>
      <c r="E611" s="18"/>
      <c r="F611" s="18"/>
      <c r="G611" s="71"/>
      <c r="H611" s="83"/>
      <c r="I611" s="71"/>
      <c r="J611" s="97"/>
      <c r="K611" s="71"/>
      <c r="L611" s="72"/>
      <c r="M611" s="72"/>
    </row>
    <row r="612" spans="1:13" ht="12.75" customHeight="1">
      <c r="A612" s="13" t="s">
        <v>90</v>
      </c>
      <c r="B612" s="18"/>
      <c r="C612" s="18"/>
      <c r="D612" s="18"/>
      <c r="E612" s="18"/>
      <c r="F612" s="18" t="s">
        <v>58</v>
      </c>
      <c r="G612" s="71">
        <f>H612+I612+J612+K612</f>
        <v>2886.4677199999996</v>
      </c>
      <c r="H612" s="83">
        <f>H385+H250+H37+H567+H569+H525+H197+H547+H549+H560</f>
        <v>0</v>
      </c>
      <c r="I612" s="71">
        <f>I385+I250+I37+I567+I569+I525+I197+I547+I549+I560</f>
        <v>79.95</v>
      </c>
      <c r="J612" s="97">
        <f>J385+J250+J37+J567+J569+J525+J197+J547+J549+J560</f>
        <v>2193.886</v>
      </c>
      <c r="K612" s="71">
        <f>K385+K250+K37+K567+K569+K525+K197+K547+K549+K560</f>
        <v>612.63172</v>
      </c>
      <c r="L612" s="72"/>
      <c r="M612" s="72"/>
    </row>
    <row r="613" spans="1:13" ht="14.25" customHeight="1">
      <c r="A613" s="13" t="s">
        <v>89</v>
      </c>
      <c r="B613" s="18"/>
      <c r="C613" s="18"/>
      <c r="D613" s="18"/>
      <c r="E613" s="18"/>
      <c r="F613" s="18" t="s">
        <v>58</v>
      </c>
      <c r="G613" s="71"/>
      <c r="H613" s="71"/>
      <c r="I613" s="71"/>
      <c r="J613" s="71"/>
      <c r="K613" s="71"/>
      <c r="L613" s="72"/>
      <c r="M613" s="72"/>
    </row>
    <row r="614" spans="1:13" ht="13.5" customHeight="1">
      <c r="A614" s="13" t="s">
        <v>37</v>
      </c>
      <c r="B614" s="18"/>
      <c r="C614" s="18"/>
      <c r="D614" s="18"/>
      <c r="E614" s="18"/>
      <c r="F614" s="18" t="s">
        <v>59</v>
      </c>
      <c r="G614" s="71">
        <f>H614+I614+J614+K614</f>
        <v>528.99867</v>
      </c>
      <c r="H614" s="71">
        <f>H616+H617+H359</f>
        <v>86.28276</v>
      </c>
      <c r="I614" s="71">
        <f>I616+I617+I359</f>
        <v>178.9025</v>
      </c>
      <c r="J614" s="71">
        <f>J616+J617+J359</f>
        <v>94.476</v>
      </c>
      <c r="K614" s="71">
        <f>K616+K617+K359</f>
        <v>169.33741</v>
      </c>
      <c r="L614" s="72"/>
      <c r="M614" s="72"/>
    </row>
    <row r="615" spans="1:13" ht="12.75" customHeight="1">
      <c r="A615" s="13" t="s">
        <v>25</v>
      </c>
      <c r="B615" s="18"/>
      <c r="C615" s="18"/>
      <c r="D615" s="18"/>
      <c r="E615" s="18"/>
      <c r="F615" s="18"/>
      <c r="G615" s="71"/>
      <c r="H615" s="71"/>
      <c r="I615" s="71"/>
      <c r="J615" s="71"/>
      <c r="K615" s="71"/>
      <c r="L615" s="72"/>
      <c r="M615" s="72"/>
    </row>
    <row r="616" spans="1:13" ht="14.25" customHeight="1">
      <c r="A616" s="13" t="s">
        <v>38</v>
      </c>
      <c r="B616" s="18"/>
      <c r="C616" s="18"/>
      <c r="D616" s="18"/>
      <c r="E616" s="18"/>
      <c r="F616" s="18" t="s">
        <v>59</v>
      </c>
      <c r="G616" s="71">
        <f>H616+I616+J616+K616</f>
        <v>234.12</v>
      </c>
      <c r="H616" s="71">
        <f>H253+H40</f>
        <v>33.90136</v>
      </c>
      <c r="I616" s="71">
        <f>I253+I40</f>
        <v>50.7425</v>
      </c>
      <c r="J616" s="71">
        <f>J253+J40</f>
        <v>60.306</v>
      </c>
      <c r="K616" s="71">
        <f>K253+K40</f>
        <v>89.17014</v>
      </c>
      <c r="L616" s="72"/>
      <c r="M616" s="72"/>
    </row>
    <row r="617" spans="1:13" ht="15" customHeight="1">
      <c r="A617" s="13" t="s">
        <v>39</v>
      </c>
      <c r="B617" s="18"/>
      <c r="C617" s="18"/>
      <c r="D617" s="18"/>
      <c r="E617" s="18"/>
      <c r="F617" s="18" t="s">
        <v>59</v>
      </c>
      <c r="G617" s="71">
        <f>H617+I617+J617+K617</f>
        <v>285.37867000000006</v>
      </c>
      <c r="H617" s="71">
        <f>H390+H254+H152+H41+H156+H548</f>
        <v>52.381400000000006</v>
      </c>
      <c r="I617" s="71">
        <f>I390+I254+I152+I41+I156+I548</f>
        <v>118.66</v>
      </c>
      <c r="J617" s="71">
        <f>J390+J254+J152+J41+J156+J548</f>
        <v>34.17</v>
      </c>
      <c r="K617" s="71">
        <f>K390+K254+K152+K41+K156+K548</f>
        <v>80.16727</v>
      </c>
      <c r="L617" s="72"/>
      <c r="M617" s="72"/>
    </row>
    <row r="618" spans="1:13" ht="10.5" customHeight="1">
      <c r="A618" s="13"/>
      <c r="B618" s="18"/>
      <c r="C618" s="18"/>
      <c r="D618" s="18"/>
      <c r="E618" s="18"/>
      <c r="F618" s="18"/>
      <c r="G618" s="71"/>
      <c r="H618" s="71"/>
      <c r="I618" s="71"/>
      <c r="J618" s="71"/>
      <c r="K618" s="71"/>
      <c r="L618" s="72"/>
      <c r="M618" s="72"/>
    </row>
    <row r="619" spans="1:13" ht="17.25" customHeight="1">
      <c r="A619" s="16" t="s">
        <v>9</v>
      </c>
      <c r="B619" s="18"/>
      <c r="C619" s="18"/>
      <c r="D619" s="18"/>
      <c r="E619" s="18"/>
      <c r="F619" s="18"/>
      <c r="G619" s="75">
        <f>H619+I619+J619+K619</f>
        <v>85758.14327</v>
      </c>
      <c r="H619" s="75">
        <f>H18+H146+H153+H159+H221+H351+H354+H360+H491+H526+H573</f>
        <v>10476.840829999997</v>
      </c>
      <c r="I619" s="75">
        <f>I18+I146+I153+I159+I221+I351+I354+I360+I491+I526+I573</f>
        <v>16141.392339999999</v>
      </c>
      <c r="J619" s="75">
        <f>J18+J146+J153+J159+J221+J351+J354+J360+J491+J526+J573</f>
        <v>28105.32064</v>
      </c>
      <c r="K619" s="75">
        <f>K18+K146+K153+K159+K221+K351+K354+K360+K491+K526+K573</f>
        <v>31034.589460000003</v>
      </c>
      <c r="L619" s="70"/>
      <c r="M619" s="70"/>
    </row>
    <row r="620" spans="5:19" ht="12.75" hidden="1">
      <c r="E620" s="7" t="s">
        <v>395</v>
      </c>
      <c r="G620" s="71">
        <f>G576-G619</f>
        <v>0</v>
      </c>
      <c r="H620" s="93">
        <f>H576-H619</f>
        <v>0</v>
      </c>
      <c r="I620" s="93">
        <f>I576-I619</f>
        <v>0</v>
      </c>
      <c r="J620" s="71">
        <f>J576-J619</f>
        <v>0</v>
      </c>
      <c r="K620" s="94">
        <f>K576-K619</f>
        <v>0</v>
      </c>
      <c r="L620" s="14"/>
      <c r="M620" s="14"/>
      <c r="N620" s="14"/>
      <c r="O620" s="14"/>
      <c r="P620" s="14"/>
      <c r="Q620" s="14"/>
      <c r="R620" s="14"/>
      <c r="S620" s="14"/>
    </row>
    <row r="621" spans="7:19" ht="12.75" hidden="1">
      <c r="G621" s="7"/>
      <c r="H621" s="125">
        <f>H619+I619</f>
        <v>26618.233169999996</v>
      </c>
      <c r="I621" s="126"/>
      <c r="J621" s="7"/>
      <c r="K621" s="7"/>
      <c r="L621" s="7"/>
      <c r="M621" s="7"/>
      <c r="N621" s="8"/>
      <c r="O621" s="8"/>
      <c r="P621" s="8"/>
      <c r="Q621" s="8"/>
      <c r="R621" s="8"/>
      <c r="S621" s="8"/>
    </row>
    <row r="622" spans="7:13" ht="12.75" hidden="1">
      <c r="G622" s="95"/>
      <c r="H622" s="119">
        <f>H619+I619</f>
        <v>26618.233169999996</v>
      </c>
      <c r="I622" s="120"/>
      <c r="J622" s="95"/>
      <c r="K622" s="95"/>
      <c r="L622" s="95"/>
      <c r="M622" s="95"/>
    </row>
    <row r="623" spans="7:13" ht="12.75" hidden="1">
      <c r="G623" s="96">
        <f aca="true" t="shared" si="48" ref="G623:L623">G576-G619</f>
        <v>0</v>
      </c>
      <c r="H623" s="96">
        <f t="shared" si="48"/>
        <v>0</v>
      </c>
      <c r="I623" s="96">
        <f t="shared" si="48"/>
        <v>0</v>
      </c>
      <c r="J623" s="96">
        <f t="shared" si="48"/>
        <v>0</v>
      </c>
      <c r="K623" s="96">
        <f t="shared" si="48"/>
        <v>0</v>
      </c>
      <c r="L623" s="96">
        <f t="shared" si="48"/>
        <v>0</v>
      </c>
      <c r="M623" s="7"/>
    </row>
    <row r="624" spans="7:13" ht="12.75" hidden="1">
      <c r="G624" s="7"/>
      <c r="H624" s="7"/>
      <c r="I624" s="7"/>
      <c r="J624" s="7"/>
      <c r="K624" s="7"/>
      <c r="L624" s="7"/>
      <c r="M624" s="7"/>
    </row>
    <row r="625" spans="7:13" ht="13.5" hidden="1">
      <c r="G625" s="96"/>
      <c r="H625" s="127">
        <f>H619+I619+J619</f>
        <v>54723.55381</v>
      </c>
      <c r="I625" s="128"/>
      <c r="J625" s="129"/>
      <c r="K625" s="96"/>
      <c r="L625" s="7"/>
      <c r="M625" s="7"/>
    </row>
    <row r="626" spans="7:13" ht="12.75">
      <c r="G626" s="7"/>
      <c r="H626" s="7"/>
      <c r="I626" s="7"/>
      <c r="J626" s="7"/>
      <c r="K626" s="7"/>
      <c r="L626" s="7"/>
      <c r="M626" s="7"/>
    </row>
    <row r="627" spans="7:13" ht="12.75">
      <c r="G627" s="7"/>
      <c r="H627" s="7"/>
      <c r="I627" s="7"/>
      <c r="J627" s="7"/>
      <c r="K627" s="7"/>
      <c r="L627" s="7"/>
      <c r="M627" s="7"/>
    </row>
    <row r="628" spans="7:13" ht="12.75">
      <c r="G628" s="7"/>
      <c r="H628" s="7"/>
      <c r="I628" s="7"/>
      <c r="J628" s="7"/>
      <c r="K628" s="7"/>
      <c r="L628" s="7"/>
      <c r="M628" s="7"/>
    </row>
    <row r="629" spans="7:13" ht="12.75">
      <c r="G629" s="7"/>
      <c r="H629" s="7"/>
      <c r="I629" s="7"/>
      <c r="J629" s="7"/>
      <c r="K629" s="7"/>
      <c r="L629" s="7"/>
      <c r="M629" s="7"/>
    </row>
  </sheetData>
  <sheetProtection/>
  <mergeCells count="21">
    <mergeCell ref="A8:M8"/>
    <mergeCell ref="A10:M10"/>
    <mergeCell ref="A9:M9"/>
    <mergeCell ref="F14:F15"/>
    <mergeCell ref="C14:C15"/>
    <mergeCell ref="K12:M12"/>
    <mergeCell ref="B14:B15"/>
    <mergeCell ref="D14:D15"/>
    <mergeCell ref="G13:G15"/>
    <mergeCell ref="B13:F13"/>
    <mergeCell ref="I2:K2"/>
    <mergeCell ref="I3:K3"/>
    <mergeCell ref="H13:K14"/>
    <mergeCell ref="A6:M6"/>
    <mergeCell ref="A7:M7"/>
    <mergeCell ref="L13:M14"/>
    <mergeCell ref="H622:I622"/>
    <mergeCell ref="A13:A15"/>
    <mergeCell ref="E14:E15"/>
    <mergeCell ref="H621:I621"/>
    <mergeCell ref="H625:J625"/>
  </mergeCells>
  <printOptions horizontalCentered="1"/>
  <pageMargins left="0.2362204724409449" right="0.2362204724409449" top="0.3937007874015748" bottom="0.2755905511811024" header="0.15748031496062992" footer="0.1968503937007874"/>
  <pageSetup fitToHeight="0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erofeeva</dc:creator>
  <cp:keywords/>
  <dc:description/>
  <cp:lastModifiedBy>User</cp:lastModifiedBy>
  <cp:lastPrinted>2019-10-23T11:00:13Z</cp:lastPrinted>
  <dcterms:created xsi:type="dcterms:W3CDTF">2007-12-05T06:56:16Z</dcterms:created>
  <dcterms:modified xsi:type="dcterms:W3CDTF">2020-02-14T05:36:55Z</dcterms:modified>
  <cp:category/>
  <cp:version/>
  <cp:contentType/>
  <cp:contentStatus/>
</cp:coreProperties>
</file>